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2"/>
  </bookViews>
  <sheets>
    <sheet name="04(14)" sheetId="1" r:id="rId1"/>
    <sheet name="64 " sheetId="2" r:id="rId2"/>
    <sheet name="04_64" sheetId="3" r:id="rId3"/>
  </sheets>
  <externalReferences>
    <externalReference r:id="rId6"/>
  </externalReferences>
  <definedNames>
    <definedName name="_xlnm.Print_Area" localSheetId="0">'04(14)'!$A$1:$K$60</definedName>
    <definedName name="_xlnm.Print_Area" localSheetId="2">'04_64'!$A$1:$K$60</definedName>
    <definedName name="_xlnm.Print_Area" localSheetId="1">'64 '!$A$1:$K$60</definedName>
  </definedNames>
  <calcPr fullCalcOnLoad="1"/>
</workbook>
</file>

<file path=xl/sharedStrings.xml><?xml version="1.0" encoding="utf-8"?>
<sst xmlns="http://schemas.openxmlformats.org/spreadsheetml/2006/main" count="89" uniqueCount="16">
  <si>
    <t>IN TOBIN COLLEGE OF BUSINESS</t>
  </si>
  <si>
    <t>INTERNAL TRANSFERS</t>
  </si>
  <si>
    <t>COMBINED</t>
  </si>
  <si>
    <t>COHORT</t>
  </si>
  <si>
    <t xml:space="preserve">HEAD </t>
  </si>
  <si>
    <t>AFTER</t>
  </si>
  <si>
    <t>FALL</t>
  </si>
  <si>
    <t>COUNT</t>
  </si>
  <si>
    <t>1 YEAR</t>
  </si>
  <si>
    <t>2 YEARS</t>
  </si>
  <si>
    <t>3 YEARS</t>
  </si>
  <si>
    <t>Beginning of SCT BANNER Data System</t>
  </si>
  <si>
    <t>COMPOSITE 2006-2013</t>
  </si>
  <si>
    <t>COMPOSITE 2010-2012</t>
  </si>
  <si>
    <t>COMPOSITE 2011-2013</t>
  </si>
  <si>
    <t>Students who transfer to another campus, but same school are still counted within the school.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</si>
</sst>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Frutiger LT 55 Roman"/>
      <family val="2"/>
    </font>
    <font>
      <sz val="10"/>
      <color indexed="8"/>
      <name val="Frutiger LT 55 Roman"/>
      <family val="2"/>
    </font>
    <font>
      <b/>
      <sz val="12"/>
      <color indexed="8"/>
      <name val="Frutiger LT 55 Roman"/>
      <family val="2"/>
    </font>
    <font>
      <b/>
      <i/>
      <sz val="10"/>
      <color indexed="8"/>
      <name val="Frutiger LT 55 Roman"/>
      <family val="2"/>
    </font>
    <font>
      <b/>
      <sz val="11"/>
      <color indexed="8"/>
      <name val="Frutiger LT 55 Roman"/>
      <family val="2"/>
    </font>
    <font>
      <sz val="11"/>
      <color indexed="8"/>
      <name val="Frutiger LT 55 Roman"/>
      <family val="2"/>
    </font>
    <font>
      <b/>
      <sz val="11"/>
      <name val="Frutiger LT 55 Roman"/>
      <family val="2"/>
    </font>
    <font>
      <sz val="11"/>
      <name val="Frutiger LT 55 Roman"/>
      <family val="2"/>
    </font>
    <font>
      <b/>
      <i/>
      <sz val="10"/>
      <name val="Frutiger LT 55 Roman"/>
      <family val="2"/>
    </font>
    <font>
      <b/>
      <i/>
      <sz val="12"/>
      <name val="Frutiger LT 55 Roman"/>
      <family val="2"/>
    </font>
    <font>
      <i/>
      <sz val="10"/>
      <name val="Frutiger LT 55 Roman"/>
      <family val="2"/>
    </font>
    <font>
      <b/>
      <sz val="12"/>
      <color indexed="10"/>
      <name val="Frutiger LT 55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2" borderId="10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0" borderId="0" xfId="0" applyFont="1" applyAlignment="1">
      <alignment/>
    </xf>
    <xf numFmtId="0" fontId="5" fillId="12" borderId="12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9" fontId="7" fillId="33" borderId="14" xfId="58" applyFont="1" applyFill="1" applyBorder="1" applyAlignment="1">
      <alignment/>
    </xf>
    <xf numFmtId="9" fontId="7" fillId="33" borderId="15" xfId="58" applyFont="1" applyFill="1" applyBorder="1" applyAlignment="1">
      <alignment/>
    </xf>
    <xf numFmtId="9" fontId="7" fillId="33" borderId="16" xfId="58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9" fontId="9" fillId="33" borderId="14" xfId="58" applyFont="1" applyFill="1" applyBorder="1" applyAlignment="1">
      <alignment/>
    </xf>
    <xf numFmtId="9" fontId="9" fillId="33" borderId="15" xfId="58" applyFont="1" applyFill="1" applyBorder="1" applyAlignment="1">
      <alignment/>
    </xf>
    <xf numFmtId="9" fontId="9" fillId="33" borderId="16" xfId="58" applyFont="1" applyFill="1" applyBorder="1" applyAlignment="1">
      <alignment/>
    </xf>
    <xf numFmtId="9" fontId="7" fillId="33" borderId="15" xfId="58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9" fontId="9" fillId="33" borderId="14" xfId="58" applyNumberFormat="1" applyFont="1" applyFill="1" applyBorder="1" applyAlignment="1">
      <alignment/>
    </xf>
    <xf numFmtId="9" fontId="9" fillId="33" borderId="15" xfId="58" applyNumberFormat="1" applyFont="1" applyFill="1" applyBorder="1" applyAlignment="1">
      <alignment/>
    </xf>
    <xf numFmtId="9" fontId="9" fillId="33" borderId="16" xfId="58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9" fillId="0" borderId="12" xfId="58" applyNumberFormat="1" applyFont="1" applyFill="1" applyBorder="1" applyAlignment="1">
      <alignment/>
    </xf>
    <xf numFmtId="0" fontId="9" fillId="0" borderId="0" xfId="58" applyNumberFormat="1" applyFont="1" applyFill="1" applyBorder="1" applyAlignment="1">
      <alignment/>
    </xf>
    <xf numFmtId="0" fontId="9" fillId="0" borderId="13" xfId="58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9" fontId="7" fillId="34" borderId="12" xfId="58" applyFont="1" applyFill="1" applyBorder="1" applyAlignment="1">
      <alignment/>
    </xf>
    <xf numFmtId="9" fontId="7" fillId="34" borderId="0" xfId="58" applyFont="1" applyFill="1" applyBorder="1" applyAlignment="1">
      <alignment/>
    </xf>
    <xf numFmtId="9" fontId="7" fillId="34" borderId="13" xfId="58" applyFont="1" applyFill="1" applyBorder="1" applyAlignment="1">
      <alignment/>
    </xf>
    <xf numFmtId="0" fontId="2" fillId="0" borderId="15" xfId="0" applyFont="1" applyBorder="1" applyAlignment="1">
      <alignment/>
    </xf>
    <xf numFmtId="0" fontId="9" fillId="0" borderId="17" xfId="58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9" fillId="0" borderId="18" xfId="58" applyNumberFormat="1" applyFont="1" applyFill="1" applyBorder="1" applyAlignment="1">
      <alignment/>
    </xf>
    <xf numFmtId="1" fontId="9" fillId="0" borderId="19" xfId="58" applyNumberFormat="1" applyFont="1" applyFill="1" applyBorder="1" applyAlignment="1">
      <alignment/>
    </xf>
    <xf numFmtId="1" fontId="9" fillId="0" borderId="17" xfId="58" applyNumberFormat="1" applyFont="1" applyFill="1" applyBorder="1" applyAlignment="1">
      <alignment/>
    </xf>
    <xf numFmtId="1" fontId="9" fillId="0" borderId="0" xfId="58" applyNumberFormat="1" applyFont="1" applyFill="1" applyBorder="1" applyAlignment="1">
      <alignment/>
    </xf>
    <xf numFmtId="1" fontId="9" fillId="0" borderId="12" xfId="58" applyNumberFormat="1" applyFont="1" applyFill="1" applyBorder="1" applyAlignment="1">
      <alignment/>
    </xf>
    <xf numFmtId="1" fontId="9" fillId="0" borderId="13" xfId="58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33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9" fontId="9" fillId="33" borderId="12" xfId="58" applyNumberFormat="1" applyFont="1" applyFill="1" applyBorder="1" applyAlignment="1">
      <alignment/>
    </xf>
    <xf numFmtId="9" fontId="9" fillId="33" borderId="13" xfId="58" applyNumberFormat="1" applyFont="1" applyFill="1" applyBorder="1" applyAlignment="1">
      <alignment/>
    </xf>
    <xf numFmtId="9" fontId="9" fillId="33" borderId="0" xfId="58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/>
    </xf>
    <xf numFmtId="9" fontId="9" fillId="33" borderId="0" xfId="58" applyFont="1" applyFill="1" applyBorder="1" applyAlignment="1">
      <alignment/>
    </xf>
    <xf numFmtId="9" fontId="9" fillId="33" borderId="20" xfId="58" applyNumberFormat="1" applyFont="1" applyFill="1" applyBorder="1" applyAlignment="1">
      <alignment/>
    </xf>
    <xf numFmtId="9" fontId="9" fillId="33" borderId="21" xfId="58" applyFont="1" applyFill="1" applyBorder="1" applyAlignment="1">
      <alignment/>
    </xf>
    <xf numFmtId="9" fontId="9" fillId="33" borderId="22" xfId="58" applyNumberFormat="1" applyFont="1" applyFill="1" applyBorder="1" applyAlignment="1">
      <alignment/>
    </xf>
    <xf numFmtId="0" fontId="10" fillId="12" borderId="23" xfId="0" applyFont="1" applyFill="1" applyBorder="1" applyAlignment="1">
      <alignment horizontal="center" wrapText="1"/>
    </xf>
    <xf numFmtId="1" fontId="11" fillId="12" borderId="24" xfId="0" applyNumberFormat="1" applyFont="1" applyFill="1" applyBorder="1" applyAlignment="1">
      <alignment/>
    </xf>
    <xf numFmtId="9" fontId="11" fillId="12" borderId="23" xfId="58" applyFont="1" applyFill="1" applyBorder="1" applyAlignment="1">
      <alignment/>
    </xf>
    <xf numFmtId="9" fontId="11" fillId="12" borderId="25" xfId="58" applyFont="1" applyFill="1" applyBorder="1" applyAlignment="1">
      <alignment/>
    </xf>
    <xf numFmtId="9" fontId="11" fillId="12" borderId="24" xfId="58" applyFont="1" applyFill="1" applyBorder="1" applyAlignment="1">
      <alignment/>
    </xf>
    <xf numFmtId="0" fontId="12" fillId="0" borderId="0" xfId="0" applyFont="1" applyAlignment="1">
      <alignment/>
    </xf>
    <xf numFmtId="0" fontId="3" fillId="12" borderId="2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9" fontId="9" fillId="33" borderId="12" xfId="58" applyFont="1" applyFill="1" applyBorder="1" applyAlignment="1">
      <alignment/>
    </xf>
    <xf numFmtId="9" fontId="9" fillId="33" borderId="13" xfId="58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35" borderId="18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/>
    </xf>
    <xf numFmtId="0" fontId="9" fillId="35" borderId="19" xfId="58" applyNumberFormat="1" applyFont="1" applyFill="1" applyBorder="1" applyAlignment="1">
      <alignment/>
    </xf>
    <xf numFmtId="0" fontId="9" fillId="35" borderId="17" xfId="58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9" fontId="13" fillId="34" borderId="12" xfId="58" applyNumberFormat="1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9" fontId="11" fillId="37" borderId="23" xfId="58" applyFont="1" applyFill="1" applyBorder="1" applyAlignment="1">
      <alignment/>
    </xf>
    <xf numFmtId="9" fontId="11" fillId="37" borderId="25" xfId="58" applyFont="1" applyFill="1" applyBorder="1" applyAlignment="1">
      <alignment/>
    </xf>
    <xf numFmtId="0" fontId="2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tbook\retention\2014\Current\Ret%20for%20Internal%20Transfers%20vs%20within%20Specific%20Schoo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51"/>
      <sheetName val="01"/>
      <sheetName val="02_62"/>
      <sheetName val="02(12)"/>
      <sheetName val="03_53"/>
      <sheetName val="03"/>
      <sheetName val="53"/>
      <sheetName val="04(14)"/>
      <sheetName val="04_64"/>
      <sheetName val="64 "/>
      <sheetName val="05"/>
      <sheetName val="51"/>
      <sheetName val="52(62)"/>
      <sheetName val="Sheet1"/>
      <sheetName val="01 90-00"/>
      <sheetName val="02 90-00"/>
      <sheetName val="04 90-00"/>
      <sheetName val="64 90-00"/>
      <sheetName val="05 90-00"/>
      <sheetName val="03 90-00"/>
      <sheetName val="53 90-00"/>
      <sheetName val="51 90-00"/>
      <sheetName val="52 99-00"/>
      <sheetName val="03_53 90-00"/>
      <sheetName val="04_64 90-00"/>
      <sheetName val="01 - w89"/>
      <sheetName val="02 w89"/>
      <sheetName val="04 w89"/>
      <sheetName val="64 w 89"/>
      <sheetName val="05 w 89"/>
      <sheetName val="03 w89"/>
      <sheetName val="53 w89"/>
      <sheetName val="59 w89"/>
      <sheetName val="PHARMD"/>
    </sheetNames>
    <sheetDataSet>
      <sheetData sheetId="7">
        <row r="35">
          <cell r="E35">
            <v>180</v>
          </cell>
          <cell r="H35">
            <v>28</v>
          </cell>
        </row>
        <row r="37">
          <cell r="C37">
            <v>321</v>
          </cell>
          <cell r="D37">
            <v>245</v>
          </cell>
          <cell r="E37">
            <v>226</v>
          </cell>
          <cell r="F37">
            <v>19</v>
          </cell>
          <cell r="G37">
            <v>32</v>
          </cell>
          <cell r="H37">
            <v>30</v>
          </cell>
        </row>
        <row r="39">
          <cell r="B39">
            <v>512</v>
          </cell>
          <cell r="C39">
            <v>394</v>
          </cell>
          <cell r="D39">
            <v>318</v>
          </cell>
          <cell r="E39">
            <v>289</v>
          </cell>
          <cell r="F39">
            <v>24</v>
          </cell>
          <cell r="G39">
            <v>42</v>
          </cell>
          <cell r="H39">
            <v>51</v>
          </cell>
        </row>
        <row r="41">
          <cell r="B41">
            <v>426</v>
          </cell>
          <cell r="C41">
            <v>292</v>
          </cell>
          <cell r="D41">
            <v>238</v>
          </cell>
          <cell r="E41">
            <v>229</v>
          </cell>
          <cell r="F41">
            <v>25</v>
          </cell>
          <cell r="G41">
            <v>38</v>
          </cell>
          <cell r="H41">
            <v>33</v>
          </cell>
        </row>
        <row r="43">
          <cell r="B43">
            <v>444</v>
          </cell>
          <cell r="C43">
            <v>322</v>
          </cell>
          <cell r="D43">
            <v>253</v>
          </cell>
          <cell r="E43">
            <v>231</v>
          </cell>
          <cell r="F43">
            <v>23</v>
          </cell>
          <cell r="G43">
            <v>44</v>
          </cell>
          <cell r="H43">
            <v>45</v>
          </cell>
        </row>
        <row r="45">
          <cell r="B45">
            <v>340</v>
          </cell>
          <cell r="C45">
            <v>244</v>
          </cell>
          <cell r="D45">
            <v>202</v>
          </cell>
          <cell r="E45">
            <v>188</v>
          </cell>
          <cell r="F45">
            <v>23</v>
          </cell>
          <cell r="G45">
            <v>35</v>
          </cell>
          <cell r="H45">
            <v>30</v>
          </cell>
        </row>
        <row r="47">
          <cell r="B47">
            <v>303</v>
          </cell>
          <cell r="C47">
            <v>228</v>
          </cell>
          <cell r="D47">
            <v>192</v>
          </cell>
          <cell r="E47">
            <v>178</v>
          </cell>
          <cell r="F47">
            <v>23</v>
          </cell>
          <cell r="G47">
            <v>25</v>
          </cell>
          <cell r="H47">
            <v>24</v>
          </cell>
        </row>
        <row r="49">
          <cell r="B49">
            <v>294</v>
          </cell>
          <cell r="C49">
            <v>214</v>
          </cell>
          <cell r="D49">
            <v>179</v>
          </cell>
          <cell r="E49">
            <v>167</v>
          </cell>
          <cell r="F49">
            <v>8</v>
          </cell>
          <cell r="G49">
            <v>16</v>
          </cell>
          <cell r="H49">
            <v>15</v>
          </cell>
        </row>
        <row r="51">
          <cell r="B51">
            <v>376</v>
          </cell>
          <cell r="C51">
            <v>280</v>
          </cell>
          <cell r="D51">
            <v>239</v>
          </cell>
          <cell r="F51">
            <v>19</v>
          </cell>
          <cell r="G51">
            <v>31</v>
          </cell>
        </row>
        <row r="53">
          <cell r="B53">
            <v>366</v>
          </cell>
          <cell r="C53">
            <v>268</v>
          </cell>
          <cell r="F53">
            <v>18</v>
          </cell>
        </row>
      </sheetData>
      <sheetData sheetId="9">
        <row r="35">
          <cell r="E35">
            <v>38</v>
          </cell>
          <cell r="K35">
            <v>47</v>
          </cell>
        </row>
        <row r="37">
          <cell r="C37">
            <v>46</v>
          </cell>
          <cell r="D37">
            <v>38</v>
          </cell>
          <cell r="E37">
            <v>36</v>
          </cell>
          <cell r="F37">
            <v>9</v>
          </cell>
          <cell r="G37">
            <v>11</v>
          </cell>
          <cell r="H37">
            <v>9</v>
          </cell>
        </row>
        <row r="39">
          <cell r="B39">
            <v>109</v>
          </cell>
          <cell r="C39">
            <v>84</v>
          </cell>
          <cell r="D39">
            <v>69</v>
          </cell>
          <cell r="E39">
            <v>63</v>
          </cell>
          <cell r="F39">
            <v>14</v>
          </cell>
          <cell r="G39">
            <v>17</v>
          </cell>
          <cell r="H39">
            <v>16</v>
          </cell>
        </row>
        <row r="41">
          <cell r="B41">
            <v>57</v>
          </cell>
          <cell r="C41">
            <v>49</v>
          </cell>
          <cell r="D41">
            <v>39</v>
          </cell>
          <cell r="E41">
            <v>38</v>
          </cell>
          <cell r="F41">
            <v>2</v>
          </cell>
          <cell r="G41">
            <v>6</v>
          </cell>
          <cell r="H41">
            <v>4</v>
          </cell>
        </row>
        <row r="43">
          <cell r="B43">
            <v>64</v>
          </cell>
          <cell r="C43">
            <v>48</v>
          </cell>
          <cell r="D43">
            <v>46</v>
          </cell>
          <cell r="E43">
            <v>44</v>
          </cell>
          <cell r="F43">
            <v>5</v>
          </cell>
          <cell r="G43">
            <v>6</v>
          </cell>
          <cell r="H43">
            <v>5</v>
          </cell>
        </row>
        <row r="45">
          <cell r="B45">
            <v>41</v>
          </cell>
          <cell r="C45">
            <v>37</v>
          </cell>
          <cell r="D45">
            <v>31</v>
          </cell>
          <cell r="E45">
            <v>26</v>
          </cell>
          <cell r="F45">
            <v>1</v>
          </cell>
          <cell r="G45">
            <v>6</v>
          </cell>
          <cell r="H45">
            <v>7</v>
          </cell>
        </row>
        <row r="47">
          <cell r="B47">
            <v>26</v>
          </cell>
          <cell r="C47">
            <v>21</v>
          </cell>
          <cell r="D47">
            <v>21</v>
          </cell>
          <cell r="E47">
            <v>20</v>
          </cell>
          <cell r="F47">
            <v>1</v>
          </cell>
          <cell r="G47">
            <v>0</v>
          </cell>
          <cell r="H47">
            <v>0</v>
          </cell>
        </row>
        <row r="49">
          <cell r="B49">
            <v>26</v>
          </cell>
          <cell r="C49">
            <v>20</v>
          </cell>
          <cell r="D49">
            <v>16</v>
          </cell>
          <cell r="E49">
            <v>14</v>
          </cell>
          <cell r="F49">
            <v>0</v>
          </cell>
          <cell r="G49">
            <v>1</v>
          </cell>
          <cell r="H49">
            <v>1</v>
          </cell>
        </row>
        <row r="51">
          <cell r="B51">
            <v>42</v>
          </cell>
          <cell r="C51">
            <v>33</v>
          </cell>
          <cell r="D51">
            <v>30</v>
          </cell>
          <cell r="F51">
            <v>3</v>
          </cell>
          <cell r="G51">
            <v>5</v>
          </cell>
        </row>
        <row r="53">
          <cell r="B53">
            <v>35</v>
          </cell>
          <cell r="C53">
            <v>32</v>
          </cell>
          <cell r="F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zoomScale="80" zoomScaleNormal="80" zoomScaleSheetLayoutView="75" zoomScalePageLayoutView="90" workbookViewId="0" topLeftCell="A33">
      <selection activeCell="I57" sqref="I57:J59"/>
    </sheetView>
  </sheetViews>
  <sheetFormatPr defaultColWidth="9.140625" defaultRowHeight="12.75"/>
  <cols>
    <col min="1" max="1" width="28.7109375" style="0" customWidth="1"/>
    <col min="3" max="3" width="13.8515625" style="0" customWidth="1"/>
    <col min="4" max="4" width="13.421875" style="0" customWidth="1"/>
    <col min="5" max="5" width="12.8515625" style="0" customWidth="1"/>
    <col min="6" max="6" width="11.421875" style="0" bestFit="1" customWidth="1"/>
    <col min="8" max="8" width="10.00390625" style="0" customWidth="1"/>
    <col min="9" max="9" width="11.421875" style="0" bestFit="1" customWidth="1"/>
  </cols>
  <sheetData>
    <row r="1" s="1" customFormat="1" ht="13.5" thickBot="1"/>
    <row r="2" spans="1:11" s="4" customFormat="1" ht="15.75">
      <c r="A2" s="2"/>
      <c r="B2" s="80"/>
      <c r="C2" s="105" t="s">
        <v>0</v>
      </c>
      <c r="D2" s="106"/>
      <c r="E2" s="107"/>
      <c r="F2" s="105" t="s">
        <v>1</v>
      </c>
      <c r="G2" s="106"/>
      <c r="H2" s="107"/>
      <c r="I2" s="105" t="s">
        <v>2</v>
      </c>
      <c r="J2" s="106"/>
      <c r="K2" s="107"/>
    </row>
    <row r="3" spans="1:11" s="4" customFormat="1" ht="12.75">
      <c r="A3" s="5" t="s">
        <v>3</v>
      </c>
      <c r="B3" s="7" t="s">
        <v>4</v>
      </c>
      <c r="C3" s="5" t="s">
        <v>5</v>
      </c>
      <c r="D3" s="6" t="s">
        <v>5</v>
      </c>
      <c r="E3" s="7" t="s">
        <v>5</v>
      </c>
      <c r="F3" s="5" t="s">
        <v>5</v>
      </c>
      <c r="G3" s="6" t="s">
        <v>5</v>
      </c>
      <c r="H3" s="7" t="s">
        <v>5</v>
      </c>
      <c r="I3" s="5" t="s">
        <v>5</v>
      </c>
      <c r="J3" s="6" t="s">
        <v>5</v>
      </c>
      <c r="K3" s="7" t="s">
        <v>5</v>
      </c>
    </row>
    <row r="4" spans="1:11" s="4" customFormat="1" ht="12.75">
      <c r="A4" s="8" t="s">
        <v>6</v>
      </c>
      <c r="B4" s="10" t="s">
        <v>7</v>
      </c>
      <c r="C4" s="8" t="s">
        <v>8</v>
      </c>
      <c r="D4" s="9" t="s">
        <v>9</v>
      </c>
      <c r="E4" s="10" t="s">
        <v>10</v>
      </c>
      <c r="F4" s="8" t="s">
        <v>8</v>
      </c>
      <c r="G4" s="9" t="s">
        <v>9</v>
      </c>
      <c r="H4" s="10" t="s">
        <v>10</v>
      </c>
      <c r="I4" s="8" t="s">
        <v>8</v>
      </c>
      <c r="J4" s="9" t="s">
        <v>9</v>
      </c>
      <c r="K4" s="10" t="s">
        <v>10</v>
      </c>
    </row>
    <row r="5" spans="1:11" s="4" customFormat="1" ht="15">
      <c r="A5" s="11">
        <v>1990</v>
      </c>
      <c r="B5" s="14">
        <v>420</v>
      </c>
      <c r="C5" s="13">
        <v>282</v>
      </c>
      <c r="D5" s="12">
        <v>230</v>
      </c>
      <c r="E5" s="14">
        <v>216</v>
      </c>
      <c r="F5" s="13">
        <v>45</v>
      </c>
      <c r="G5" s="12">
        <v>63</v>
      </c>
      <c r="H5" s="14">
        <v>62</v>
      </c>
      <c r="I5" s="13">
        <f>C5+F5</f>
        <v>327</v>
      </c>
      <c r="J5" s="12">
        <f>D5+G5</f>
        <v>293</v>
      </c>
      <c r="K5" s="14">
        <f>E5+H5</f>
        <v>278</v>
      </c>
    </row>
    <row r="6" spans="1:11" s="4" customFormat="1" ht="15">
      <c r="A6" s="15"/>
      <c r="B6" s="81"/>
      <c r="C6" s="17">
        <f>C5/$B$5</f>
        <v>0.6714285714285714</v>
      </c>
      <c r="D6" s="18">
        <f aca="true" t="shared" si="0" ref="D6:K6">D5/$B$5</f>
        <v>0.5476190476190477</v>
      </c>
      <c r="E6" s="19">
        <f t="shared" si="0"/>
        <v>0.5142857142857142</v>
      </c>
      <c r="F6" s="17">
        <f t="shared" si="0"/>
        <v>0.10714285714285714</v>
      </c>
      <c r="G6" s="18">
        <f t="shared" si="0"/>
        <v>0.15</v>
      </c>
      <c r="H6" s="19">
        <f t="shared" si="0"/>
        <v>0.14761904761904762</v>
      </c>
      <c r="I6" s="17">
        <f t="shared" si="0"/>
        <v>0.7785714285714286</v>
      </c>
      <c r="J6" s="18">
        <f t="shared" si="0"/>
        <v>0.6976190476190476</v>
      </c>
      <c r="K6" s="19">
        <f t="shared" si="0"/>
        <v>0.6619047619047619</v>
      </c>
    </row>
    <row r="7" spans="1:11" s="4" customFormat="1" ht="15">
      <c r="A7" s="11">
        <v>1991</v>
      </c>
      <c r="B7" s="14">
        <v>382</v>
      </c>
      <c r="C7" s="13">
        <v>259</v>
      </c>
      <c r="D7" s="12">
        <v>220</v>
      </c>
      <c r="E7" s="14">
        <v>205</v>
      </c>
      <c r="F7" s="13">
        <v>46</v>
      </c>
      <c r="G7" s="12">
        <v>55</v>
      </c>
      <c r="H7" s="14">
        <v>57</v>
      </c>
      <c r="I7" s="13">
        <f>C7+F7</f>
        <v>305</v>
      </c>
      <c r="J7" s="12">
        <f>D7+G7</f>
        <v>275</v>
      </c>
      <c r="K7" s="14">
        <f>E7+H7</f>
        <v>262</v>
      </c>
    </row>
    <row r="8" spans="1:11" s="4" customFormat="1" ht="15">
      <c r="A8" s="15"/>
      <c r="B8" s="81"/>
      <c r="C8" s="17">
        <f>C7/$B$7</f>
        <v>0.6780104712041884</v>
      </c>
      <c r="D8" s="18">
        <f aca="true" t="shared" si="1" ref="D8:K8">D7/$B$7</f>
        <v>0.5759162303664922</v>
      </c>
      <c r="E8" s="19">
        <f t="shared" si="1"/>
        <v>0.5366492146596858</v>
      </c>
      <c r="F8" s="17">
        <f t="shared" si="1"/>
        <v>0.12041884816753927</v>
      </c>
      <c r="G8" s="18">
        <f t="shared" si="1"/>
        <v>0.14397905759162305</v>
      </c>
      <c r="H8" s="19">
        <f t="shared" si="1"/>
        <v>0.14921465968586387</v>
      </c>
      <c r="I8" s="17">
        <f t="shared" si="1"/>
        <v>0.7984293193717278</v>
      </c>
      <c r="J8" s="18">
        <f t="shared" si="1"/>
        <v>0.7198952879581152</v>
      </c>
      <c r="K8" s="19">
        <f t="shared" si="1"/>
        <v>0.6858638743455497</v>
      </c>
    </row>
    <row r="9" spans="1:11" s="1" customFormat="1" ht="15">
      <c r="A9" s="20">
        <v>1992</v>
      </c>
      <c r="B9" s="23">
        <v>288</v>
      </c>
      <c r="C9" s="22">
        <v>210</v>
      </c>
      <c r="D9" s="21">
        <v>169</v>
      </c>
      <c r="E9" s="23">
        <v>161</v>
      </c>
      <c r="F9" s="22">
        <v>24</v>
      </c>
      <c r="G9" s="21">
        <v>46</v>
      </c>
      <c r="H9" s="23">
        <v>44</v>
      </c>
      <c r="I9" s="22">
        <f>C9+F9</f>
        <v>234</v>
      </c>
      <c r="J9" s="21">
        <f>D9+G9</f>
        <v>215</v>
      </c>
      <c r="K9" s="23">
        <f>E9+H9</f>
        <v>205</v>
      </c>
    </row>
    <row r="10" spans="1:11" s="1" customFormat="1" ht="15">
      <c r="A10" s="24"/>
      <c r="B10" s="31"/>
      <c r="C10" s="26">
        <f>C9/$B$9</f>
        <v>0.7291666666666666</v>
      </c>
      <c r="D10" s="27">
        <f aca="true" t="shared" si="2" ref="D10:K10">D9/$B$9</f>
        <v>0.5868055555555556</v>
      </c>
      <c r="E10" s="28">
        <f t="shared" si="2"/>
        <v>0.5590277777777778</v>
      </c>
      <c r="F10" s="26">
        <f t="shared" si="2"/>
        <v>0.08333333333333333</v>
      </c>
      <c r="G10" s="27">
        <f t="shared" si="2"/>
        <v>0.1597222222222222</v>
      </c>
      <c r="H10" s="28">
        <f t="shared" si="2"/>
        <v>0.1527777777777778</v>
      </c>
      <c r="I10" s="26">
        <f t="shared" si="2"/>
        <v>0.8125</v>
      </c>
      <c r="J10" s="27">
        <f t="shared" si="2"/>
        <v>0.7465277777777778</v>
      </c>
      <c r="K10" s="28">
        <f t="shared" si="2"/>
        <v>0.7118055555555556</v>
      </c>
    </row>
    <row r="11" spans="1:11" s="1" customFormat="1" ht="15">
      <c r="A11" s="11">
        <v>1993</v>
      </c>
      <c r="B11" s="14">
        <v>220</v>
      </c>
      <c r="C11" s="13">
        <v>160</v>
      </c>
      <c r="D11" s="12">
        <v>140</v>
      </c>
      <c r="E11" s="14">
        <v>125</v>
      </c>
      <c r="F11" s="13">
        <v>19</v>
      </c>
      <c r="G11" s="12">
        <v>25</v>
      </c>
      <c r="H11" s="14">
        <v>29</v>
      </c>
      <c r="I11" s="13">
        <v>179</v>
      </c>
      <c r="J11" s="12">
        <v>165</v>
      </c>
      <c r="K11" s="14">
        <v>154</v>
      </c>
    </row>
    <row r="12" spans="1:11" s="1" customFormat="1" ht="15">
      <c r="A12" s="15"/>
      <c r="B12" s="81"/>
      <c r="C12" s="17">
        <f>(C11/$B$11)</f>
        <v>0.7272727272727273</v>
      </c>
      <c r="D12" s="18">
        <f aca="true" t="shared" si="3" ref="D12:K12">(D11/$B$11)</f>
        <v>0.6363636363636364</v>
      </c>
      <c r="E12" s="19">
        <f t="shared" si="3"/>
        <v>0.5681818181818182</v>
      </c>
      <c r="F12" s="17">
        <f t="shared" si="3"/>
        <v>0.08636363636363636</v>
      </c>
      <c r="G12" s="18">
        <f t="shared" si="3"/>
        <v>0.11363636363636363</v>
      </c>
      <c r="H12" s="19">
        <f t="shared" si="3"/>
        <v>0.1318181818181818</v>
      </c>
      <c r="I12" s="17">
        <f t="shared" si="3"/>
        <v>0.8136363636363636</v>
      </c>
      <c r="J12" s="18">
        <f t="shared" si="3"/>
        <v>0.75</v>
      </c>
      <c r="K12" s="19">
        <f t="shared" si="3"/>
        <v>0.7</v>
      </c>
    </row>
    <row r="13" spans="1:11" s="4" customFormat="1" ht="15">
      <c r="A13" s="11">
        <v>1994</v>
      </c>
      <c r="B13" s="14">
        <v>258</v>
      </c>
      <c r="C13" s="13">
        <v>195</v>
      </c>
      <c r="D13" s="12">
        <v>158</v>
      </c>
      <c r="E13" s="14">
        <v>141</v>
      </c>
      <c r="F13" s="13">
        <v>19</v>
      </c>
      <c r="G13" s="12">
        <v>29</v>
      </c>
      <c r="H13" s="14">
        <v>30</v>
      </c>
      <c r="I13" s="13">
        <f>C13+F13</f>
        <v>214</v>
      </c>
      <c r="J13" s="12">
        <f>D13+G13</f>
        <v>187</v>
      </c>
      <c r="K13" s="14">
        <f>E13+H13</f>
        <v>171</v>
      </c>
    </row>
    <row r="14" spans="1:11" s="4" customFormat="1" ht="15">
      <c r="A14" s="15"/>
      <c r="B14" s="81"/>
      <c r="C14" s="17">
        <f>C13/$B$13</f>
        <v>0.7558139534883721</v>
      </c>
      <c r="D14" s="18">
        <f aca="true" t="shared" si="4" ref="D14:K14">D13/$B$13</f>
        <v>0.6124031007751938</v>
      </c>
      <c r="E14" s="19">
        <f t="shared" si="4"/>
        <v>0.5465116279069767</v>
      </c>
      <c r="F14" s="17">
        <f t="shared" si="4"/>
        <v>0.07364341085271318</v>
      </c>
      <c r="G14" s="18">
        <f t="shared" si="4"/>
        <v>0.1124031007751938</v>
      </c>
      <c r="H14" s="19">
        <f t="shared" si="4"/>
        <v>0.11627906976744186</v>
      </c>
      <c r="I14" s="17">
        <f t="shared" si="4"/>
        <v>0.8294573643410853</v>
      </c>
      <c r="J14" s="29">
        <v>0.73</v>
      </c>
      <c r="K14" s="19">
        <f t="shared" si="4"/>
        <v>0.6627906976744186</v>
      </c>
    </row>
    <row r="15" spans="1:11" s="1" customFormat="1" ht="15">
      <c r="A15" s="20">
        <v>1995</v>
      </c>
      <c r="B15" s="23">
        <v>233</v>
      </c>
      <c r="C15" s="22">
        <v>166</v>
      </c>
      <c r="D15" s="21">
        <v>140</v>
      </c>
      <c r="E15" s="23">
        <v>131</v>
      </c>
      <c r="F15" s="22">
        <v>19</v>
      </c>
      <c r="G15" s="21">
        <v>22</v>
      </c>
      <c r="H15" s="23">
        <v>25</v>
      </c>
      <c r="I15" s="13">
        <f>C15+F15</f>
        <v>185</v>
      </c>
      <c r="J15" s="12">
        <f>D15+G15</f>
        <v>162</v>
      </c>
      <c r="K15" s="14">
        <f>E15+H15</f>
        <v>156</v>
      </c>
    </row>
    <row r="16" spans="1:11" s="1" customFormat="1" ht="15.75" thickBot="1">
      <c r="A16" s="82"/>
      <c r="B16" s="83"/>
      <c r="C16" s="84">
        <f>C15/$B$15</f>
        <v>0.7124463519313304</v>
      </c>
      <c r="D16" s="70">
        <f aca="true" t="shared" si="5" ref="D16:K16">D15/$B$15</f>
        <v>0.6008583690987125</v>
      </c>
      <c r="E16" s="85">
        <f t="shared" si="5"/>
        <v>0.5622317596566524</v>
      </c>
      <c r="F16" s="84">
        <f t="shared" si="5"/>
        <v>0.0815450643776824</v>
      </c>
      <c r="G16" s="70">
        <f t="shared" si="5"/>
        <v>0.0944206008583691</v>
      </c>
      <c r="H16" s="85">
        <f t="shared" si="5"/>
        <v>0.1072961373390558</v>
      </c>
      <c r="I16" s="84">
        <f t="shared" si="5"/>
        <v>0.7939914163090128</v>
      </c>
      <c r="J16" s="70">
        <f t="shared" si="5"/>
        <v>0.6952789699570815</v>
      </c>
      <c r="K16" s="85">
        <f t="shared" si="5"/>
        <v>0.6695278969957081</v>
      </c>
    </row>
    <row r="17" spans="1:11" s="1" customFormat="1" ht="15.75" thickTop="1">
      <c r="A17" s="86">
        <v>1996</v>
      </c>
      <c r="B17" s="87">
        <v>240</v>
      </c>
      <c r="C17" s="88">
        <v>178</v>
      </c>
      <c r="D17" s="89">
        <v>151</v>
      </c>
      <c r="E17" s="87">
        <v>141</v>
      </c>
      <c r="F17" s="88">
        <v>15</v>
      </c>
      <c r="G17" s="89">
        <v>26</v>
      </c>
      <c r="H17" s="87">
        <v>26</v>
      </c>
      <c r="I17" s="88">
        <f>C17+F17</f>
        <v>193</v>
      </c>
      <c r="J17" s="89">
        <f>D17+G17</f>
        <v>177</v>
      </c>
      <c r="K17" s="87">
        <f>E17+H17</f>
        <v>167</v>
      </c>
    </row>
    <row r="18" spans="1:11" s="1" customFormat="1" ht="18" customHeight="1">
      <c r="A18" s="24"/>
      <c r="B18" s="31"/>
      <c r="C18" s="26">
        <f>(C17/$B$17)</f>
        <v>0.7416666666666667</v>
      </c>
      <c r="D18" s="27">
        <f aca="true" t="shared" si="6" ref="D18:K18">(D17/$B$17)</f>
        <v>0.6291666666666667</v>
      </c>
      <c r="E18" s="28">
        <f t="shared" si="6"/>
        <v>0.5875</v>
      </c>
      <c r="F18" s="26">
        <f t="shared" si="6"/>
        <v>0.0625</v>
      </c>
      <c r="G18" s="27">
        <f t="shared" si="6"/>
        <v>0.10833333333333334</v>
      </c>
      <c r="H18" s="28">
        <f t="shared" si="6"/>
        <v>0.10833333333333334</v>
      </c>
      <c r="I18" s="26">
        <f t="shared" si="6"/>
        <v>0.8041666666666667</v>
      </c>
      <c r="J18" s="27">
        <f t="shared" si="6"/>
        <v>0.7375</v>
      </c>
      <c r="K18" s="28">
        <f t="shared" si="6"/>
        <v>0.6958333333333333</v>
      </c>
    </row>
    <row r="19" spans="1:11" s="1" customFormat="1" ht="15">
      <c r="A19" s="108" t="s">
        <v>11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s="1" customFormat="1" ht="15">
      <c r="A20" s="20">
        <v>1997</v>
      </c>
      <c r="B20" s="23">
        <v>277</v>
      </c>
      <c r="C20" s="22">
        <v>216</v>
      </c>
      <c r="D20" s="21">
        <v>181</v>
      </c>
      <c r="E20" s="23">
        <v>162</v>
      </c>
      <c r="F20" s="22">
        <v>23</v>
      </c>
      <c r="G20" s="21">
        <v>37</v>
      </c>
      <c r="H20" s="23">
        <v>41</v>
      </c>
      <c r="I20" s="22">
        <f>C20+F20</f>
        <v>239</v>
      </c>
      <c r="J20" s="21">
        <f>D20+G20</f>
        <v>218</v>
      </c>
      <c r="K20" s="23">
        <f>SUM(E20,H20)</f>
        <v>203</v>
      </c>
    </row>
    <row r="21" spans="1:11" s="1" customFormat="1" ht="18" customHeight="1">
      <c r="A21" s="24"/>
      <c r="B21" s="31"/>
      <c r="C21" s="26">
        <f>(C20/$B$20)</f>
        <v>0.779783393501805</v>
      </c>
      <c r="D21" s="27">
        <f aca="true" t="shared" si="7" ref="D21:J21">(D20/$B$20)</f>
        <v>0.6534296028880866</v>
      </c>
      <c r="E21" s="28">
        <f>(E20/$B$20)</f>
        <v>0.5848375451263538</v>
      </c>
      <c r="F21" s="26">
        <f t="shared" si="7"/>
        <v>0.08303249097472924</v>
      </c>
      <c r="G21" s="27">
        <f t="shared" si="7"/>
        <v>0.13357400722021662</v>
      </c>
      <c r="H21" s="28">
        <f>(H20/$B$20)</f>
        <v>0.148014440433213</v>
      </c>
      <c r="I21" s="26">
        <f t="shared" si="7"/>
        <v>0.8628158844765343</v>
      </c>
      <c r="J21" s="27">
        <f t="shared" si="7"/>
        <v>0.7870036101083032</v>
      </c>
      <c r="K21" s="28">
        <f>(K20/$B$20)</f>
        <v>0.7328519855595668</v>
      </c>
    </row>
    <row r="22" spans="1:11" s="1" customFormat="1" ht="15">
      <c r="A22" s="20">
        <v>1998</v>
      </c>
      <c r="B22" s="23">
        <v>292</v>
      </c>
      <c r="C22" s="22">
        <v>207</v>
      </c>
      <c r="D22" s="21">
        <v>177</v>
      </c>
      <c r="E22" s="23">
        <v>166</v>
      </c>
      <c r="F22" s="22">
        <v>27</v>
      </c>
      <c r="G22" s="21">
        <v>40</v>
      </c>
      <c r="H22" s="23">
        <v>44</v>
      </c>
      <c r="I22" s="22">
        <f>C22+F22</f>
        <v>234</v>
      </c>
      <c r="J22" s="21">
        <f>D22+G22</f>
        <v>217</v>
      </c>
      <c r="K22" s="23">
        <f>SUM(E22,H22)</f>
        <v>210</v>
      </c>
    </row>
    <row r="23" spans="1:11" s="1" customFormat="1" ht="15">
      <c r="A23" s="24"/>
      <c r="B23" s="31"/>
      <c r="C23" s="26">
        <f>(C22/$B$22)</f>
        <v>0.708904109589041</v>
      </c>
      <c r="D23" s="27">
        <f aca="true" t="shared" si="8" ref="D23:J23">(D22/$B$22)</f>
        <v>0.6061643835616438</v>
      </c>
      <c r="E23" s="28">
        <f>(E22/$B$22)</f>
        <v>0.5684931506849316</v>
      </c>
      <c r="F23" s="26">
        <f t="shared" si="8"/>
        <v>0.09246575342465753</v>
      </c>
      <c r="G23" s="27">
        <f t="shared" si="8"/>
        <v>0.136986301369863</v>
      </c>
      <c r="H23" s="28">
        <f>(H22/$B$22)</f>
        <v>0.1506849315068493</v>
      </c>
      <c r="I23" s="26">
        <f t="shared" si="8"/>
        <v>0.8013698630136986</v>
      </c>
      <c r="J23" s="27">
        <f t="shared" si="8"/>
        <v>0.7431506849315068</v>
      </c>
      <c r="K23" s="28">
        <f>(K22/$B$22)</f>
        <v>0.7191780821917808</v>
      </c>
    </row>
    <row r="24" spans="1:11" s="1" customFormat="1" ht="15">
      <c r="A24" s="20">
        <v>1999</v>
      </c>
      <c r="B24" s="23">
        <v>299</v>
      </c>
      <c r="C24" s="22">
        <v>215</v>
      </c>
      <c r="D24" s="21">
        <v>184</v>
      </c>
      <c r="E24" s="23">
        <v>161</v>
      </c>
      <c r="F24" s="22">
        <v>22</v>
      </c>
      <c r="G24" s="21">
        <v>29</v>
      </c>
      <c r="H24" s="23">
        <v>32</v>
      </c>
      <c r="I24" s="22">
        <f>C24+F24</f>
        <v>237</v>
      </c>
      <c r="J24" s="21">
        <f>SUM(D24,G24)</f>
        <v>213</v>
      </c>
      <c r="K24" s="23">
        <f>SUM(E24,H24)</f>
        <v>193</v>
      </c>
    </row>
    <row r="25" spans="1:11" s="1" customFormat="1" ht="15">
      <c r="A25" s="24"/>
      <c r="B25" s="31"/>
      <c r="C25" s="26">
        <f>(C24/$B$24)</f>
        <v>0.7190635451505016</v>
      </c>
      <c r="D25" s="27">
        <f aca="true" t="shared" si="9" ref="D25:K25">(D24/$B$24)</f>
        <v>0.6153846153846154</v>
      </c>
      <c r="E25" s="28">
        <f t="shared" si="9"/>
        <v>0.5384615384615384</v>
      </c>
      <c r="F25" s="26">
        <f t="shared" si="9"/>
        <v>0.07357859531772576</v>
      </c>
      <c r="G25" s="27">
        <f t="shared" si="9"/>
        <v>0.09698996655518395</v>
      </c>
      <c r="H25" s="28">
        <f t="shared" si="9"/>
        <v>0.10702341137123746</v>
      </c>
      <c r="I25" s="26">
        <f t="shared" si="9"/>
        <v>0.7926421404682275</v>
      </c>
      <c r="J25" s="27">
        <f t="shared" si="9"/>
        <v>0.7123745819397993</v>
      </c>
      <c r="K25" s="28">
        <f t="shared" si="9"/>
        <v>0.6454849498327759</v>
      </c>
    </row>
    <row r="26" spans="1:11" s="43" customFormat="1" ht="15">
      <c r="A26" s="38">
        <v>2000</v>
      </c>
      <c r="B26" s="90">
        <v>348</v>
      </c>
      <c r="C26" s="40">
        <v>257</v>
      </c>
      <c r="D26" s="41">
        <v>228</v>
      </c>
      <c r="E26" s="42">
        <v>201</v>
      </c>
      <c r="F26" s="40">
        <v>19</v>
      </c>
      <c r="G26" s="41">
        <v>26</v>
      </c>
      <c r="H26" s="42">
        <v>31</v>
      </c>
      <c r="I26" s="40">
        <f>SUM(C26,F26)</f>
        <v>276</v>
      </c>
      <c r="J26" s="41">
        <f>SUM(D26,G26)</f>
        <v>254</v>
      </c>
      <c r="K26" s="42">
        <v>232</v>
      </c>
    </row>
    <row r="27" spans="1:11" s="1" customFormat="1" ht="15">
      <c r="A27" s="24"/>
      <c r="B27" s="31"/>
      <c r="C27" s="26">
        <f>(C26/$B$26)</f>
        <v>0.7385057471264368</v>
      </c>
      <c r="D27" s="27">
        <f aca="true" t="shared" si="10" ref="D27:J27">(D26/$B$26)</f>
        <v>0.6551724137931034</v>
      </c>
      <c r="E27" s="28">
        <v>0.58</v>
      </c>
      <c r="F27" s="26">
        <f t="shared" si="10"/>
        <v>0.05459770114942529</v>
      </c>
      <c r="G27" s="27">
        <f t="shared" si="10"/>
        <v>0.07471264367816093</v>
      </c>
      <c r="H27" s="28">
        <v>0.09</v>
      </c>
      <c r="I27" s="26">
        <f t="shared" si="10"/>
        <v>0.7931034482758621</v>
      </c>
      <c r="J27" s="27">
        <f t="shared" si="10"/>
        <v>0.7298850574712644</v>
      </c>
      <c r="K27" s="28">
        <v>0.67</v>
      </c>
    </row>
    <row r="28" spans="1:11" s="43" customFormat="1" ht="15">
      <c r="A28" s="38">
        <v>2001</v>
      </c>
      <c r="B28" s="90">
        <v>303</v>
      </c>
      <c r="C28" s="40">
        <v>212</v>
      </c>
      <c r="D28" s="41">
        <v>172</v>
      </c>
      <c r="E28" s="42">
        <v>168</v>
      </c>
      <c r="F28" s="40">
        <v>29</v>
      </c>
      <c r="G28" s="41">
        <v>38</v>
      </c>
      <c r="H28" s="42">
        <v>37</v>
      </c>
      <c r="I28" s="40">
        <f>SUM(C28,F28)</f>
        <v>241</v>
      </c>
      <c r="J28" s="41">
        <v>210</v>
      </c>
      <c r="K28" s="42">
        <v>205</v>
      </c>
    </row>
    <row r="29" spans="1:11" s="50" customFormat="1" ht="15">
      <c r="A29" s="24"/>
      <c r="B29" s="31"/>
      <c r="C29" s="26">
        <f>C28/$B$28</f>
        <v>0.6996699669966997</v>
      </c>
      <c r="D29" s="27">
        <v>0.57</v>
      </c>
      <c r="E29" s="28">
        <v>0.55</v>
      </c>
      <c r="F29" s="26">
        <f>F28/$B$28</f>
        <v>0.09570957095709572</v>
      </c>
      <c r="G29" s="27">
        <v>0.12</v>
      </c>
      <c r="H29" s="28">
        <v>0.12</v>
      </c>
      <c r="I29" s="26">
        <f>I28/$B$28</f>
        <v>0.7953795379537953</v>
      </c>
      <c r="J29" s="27">
        <v>0.7</v>
      </c>
      <c r="K29" s="28">
        <v>0.68</v>
      </c>
    </row>
    <row r="30" spans="1:11" s="4" customFormat="1" ht="18" customHeight="1" hidden="1">
      <c r="A30" s="45"/>
      <c r="B30" s="91"/>
      <c r="C30" s="47"/>
      <c r="D30" s="48"/>
      <c r="E30" s="49"/>
      <c r="F30" s="47"/>
      <c r="G30" s="48"/>
      <c r="H30" s="49"/>
      <c r="I30" s="47"/>
      <c r="J30" s="48"/>
      <c r="K30" s="49"/>
    </row>
    <row r="31" spans="1:11" s="43" customFormat="1" ht="15">
      <c r="A31" s="38">
        <v>2002</v>
      </c>
      <c r="B31" s="90">
        <v>333</v>
      </c>
      <c r="C31" s="40">
        <v>247</v>
      </c>
      <c r="D31" s="41">
        <v>201</v>
      </c>
      <c r="E31" s="42">
        <v>182</v>
      </c>
      <c r="F31" s="40">
        <v>21</v>
      </c>
      <c r="G31" s="41">
        <v>36</v>
      </c>
      <c r="H31" s="42">
        <f>12+19+2+4</f>
        <v>37</v>
      </c>
      <c r="I31" s="40">
        <v>268</v>
      </c>
      <c r="J31" s="41">
        <v>237</v>
      </c>
      <c r="K31" s="42">
        <f>12+19+2+4+182+1</f>
        <v>220</v>
      </c>
    </row>
    <row r="32" spans="1:11" s="50" customFormat="1" ht="15">
      <c r="A32" s="24"/>
      <c r="B32" s="31"/>
      <c r="C32" s="26">
        <v>0.74</v>
      </c>
      <c r="D32" s="27">
        <v>0.6</v>
      </c>
      <c r="E32" s="28">
        <f>E31/B31</f>
        <v>0.5465465465465466</v>
      </c>
      <c r="F32" s="26">
        <v>0.06</v>
      </c>
      <c r="G32" s="27">
        <v>0.11</v>
      </c>
      <c r="H32" s="28">
        <f>H31/B31</f>
        <v>0.1111111111111111</v>
      </c>
      <c r="I32" s="26">
        <v>0.8</v>
      </c>
      <c r="J32" s="27">
        <v>0.71</v>
      </c>
      <c r="K32" s="28">
        <f>K31/B31</f>
        <v>0.6606606606606606</v>
      </c>
    </row>
    <row r="33" spans="1:11" s="43" customFormat="1" ht="15">
      <c r="A33" s="38">
        <v>2003</v>
      </c>
      <c r="B33" s="90">
        <v>365</v>
      </c>
      <c r="C33" s="40">
        <v>266</v>
      </c>
      <c r="D33" s="41">
        <f>212+1</f>
        <v>213</v>
      </c>
      <c r="E33" s="42">
        <v>195</v>
      </c>
      <c r="F33" s="40">
        <v>21</v>
      </c>
      <c r="G33" s="41">
        <f>13+24+5</f>
        <v>42</v>
      </c>
      <c r="H33" s="42">
        <f>11+27+5</f>
        <v>43</v>
      </c>
      <c r="I33" s="40">
        <v>287</v>
      </c>
      <c r="J33" s="41">
        <f>13+24+5+212+1</f>
        <v>255</v>
      </c>
      <c r="K33" s="42">
        <f>H33+E33</f>
        <v>238</v>
      </c>
    </row>
    <row r="34" spans="1:11" s="1" customFormat="1" ht="15">
      <c r="A34" s="24"/>
      <c r="B34" s="31"/>
      <c r="C34" s="26">
        <v>0.73</v>
      </c>
      <c r="D34" s="27">
        <f>D33/B33</f>
        <v>0.5835616438356165</v>
      </c>
      <c r="E34" s="28">
        <f>E33/B33</f>
        <v>0.5342465753424658</v>
      </c>
      <c r="F34" s="26">
        <v>0.06</v>
      </c>
      <c r="G34" s="27">
        <f>G33/B33</f>
        <v>0.11506849315068493</v>
      </c>
      <c r="H34" s="28">
        <f>H33/B33</f>
        <v>0.1178082191780822</v>
      </c>
      <c r="I34" s="26">
        <v>0.79</v>
      </c>
      <c r="J34" s="27">
        <f>J33/B33</f>
        <v>0.6986301369863014</v>
      </c>
      <c r="K34" s="28">
        <f>K33/B33</f>
        <v>0.6520547945205479</v>
      </c>
    </row>
    <row r="35" spans="1:11" s="62" customFormat="1" ht="15">
      <c r="A35" s="61">
        <v>2004</v>
      </c>
      <c r="B35" s="92">
        <v>330</v>
      </c>
      <c r="C35" s="58">
        <v>228</v>
      </c>
      <c r="D35" s="57">
        <f>192+4</f>
        <v>196</v>
      </c>
      <c r="E35" s="59">
        <v>180</v>
      </c>
      <c r="F35" s="58">
        <v>15</v>
      </c>
      <c r="G35" s="57">
        <f>6+11+1+3</f>
        <v>21</v>
      </c>
      <c r="H35" s="59">
        <v>28</v>
      </c>
      <c r="I35" s="58">
        <f>5+7+2+1+225+3</f>
        <v>243</v>
      </c>
      <c r="J35" s="57">
        <f>G35+D35</f>
        <v>217</v>
      </c>
      <c r="K35" s="59">
        <f>H35+E35</f>
        <v>208</v>
      </c>
    </row>
    <row r="36" spans="1:11" s="1" customFormat="1" ht="15">
      <c r="A36" s="24"/>
      <c r="B36" s="31"/>
      <c r="C36" s="26">
        <f>C35/B35</f>
        <v>0.6909090909090909</v>
      </c>
      <c r="D36" s="27">
        <f>D35/B35</f>
        <v>0.593939393939394</v>
      </c>
      <c r="E36" s="28">
        <f>E35/B35</f>
        <v>0.5454545454545454</v>
      </c>
      <c r="F36" s="26">
        <f>F35/B35</f>
        <v>0.045454545454545456</v>
      </c>
      <c r="G36" s="27">
        <f>G35/B35</f>
        <v>0.06363636363636363</v>
      </c>
      <c r="H36" s="28">
        <f>H35/B35</f>
        <v>0.08484848484848485</v>
      </c>
      <c r="I36" s="26">
        <f>I35/B35</f>
        <v>0.7363636363636363</v>
      </c>
      <c r="J36" s="27">
        <f>J35/B35</f>
        <v>0.6575757575757576</v>
      </c>
      <c r="K36" s="28">
        <f>K35/B35</f>
        <v>0.6303030303030303</v>
      </c>
    </row>
    <row r="37" spans="1:11" s="62" customFormat="1" ht="15">
      <c r="A37" s="61">
        <v>2005</v>
      </c>
      <c r="B37" s="92">
        <v>419</v>
      </c>
      <c r="C37" s="58">
        <v>321</v>
      </c>
      <c r="D37" s="57">
        <v>245</v>
      </c>
      <c r="E37" s="59">
        <v>226</v>
      </c>
      <c r="F37" s="58">
        <v>19</v>
      </c>
      <c r="G37" s="57">
        <v>32</v>
      </c>
      <c r="H37" s="59">
        <v>30</v>
      </c>
      <c r="I37" s="54">
        <f>F37+C37</f>
        <v>340</v>
      </c>
      <c r="J37" s="57">
        <f>G37+D37</f>
        <v>277</v>
      </c>
      <c r="K37" s="59">
        <f>H37+E37</f>
        <v>256</v>
      </c>
    </row>
    <row r="38" spans="1:11" s="1" customFormat="1" ht="15">
      <c r="A38" s="24"/>
      <c r="B38" s="31"/>
      <c r="C38" s="26">
        <f>C37/B37</f>
        <v>0.766109785202864</v>
      </c>
      <c r="D38" s="27">
        <f>D37/B37</f>
        <v>0.5847255369928401</v>
      </c>
      <c r="E38" s="28">
        <f>E37/B37</f>
        <v>0.5393794749403341</v>
      </c>
      <c r="F38" s="26">
        <f>F37/B37</f>
        <v>0.045346062052505964</v>
      </c>
      <c r="G38" s="27">
        <f>G37/B37</f>
        <v>0.07637231503579953</v>
      </c>
      <c r="H38" s="28">
        <f>H37/B37</f>
        <v>0.07159904534606205</v>
      </c>
      <c r="I38" s="26">
        <f>I37/B37</f>
        <v>0.8114558472553699</v>
      </c>
      <c r="J38" s="27">
        <f>J37/B37</f>
        <v>0.6610978520286396</v>
      </c>
      <c r="K38" s="28">
        <f>K37/B37</f>
        <v>0.6109785202863962</v>
      </c>
    </row>
    <row r="39" spans="1:11" s="62" customFormat="1" ht="15">
      <c r="A39" s="61">
        <v>2006</v>
      </c>
      <c r="B39" s="92">
        <v>512</v>
      </c>
      <c r="C39" s="58">
        <v>394</v>
      </c>
      <c r="D39" s="57">
        <v>318</v>
      </c>
      <c r="E39" s="59">
        <v>289</v>
      </c>
      <c r="F39" s="58">
        <v>24</v>
      </c>
      <c r="G39" s="57">
        <v>42</v>
      </c>
      <c r="H39" s="59">
        <v>51</v>
      </c>
      <c r="I39" s="58">
        <f>F39+C39</f>
        <v>418</v>
      </c>
      <c r="J39" s="57">
        <f>G39+D39</f>
        <v>360</v>
      </c>
      <c r="K39" s="59">
        <f>H39+E39</f>
        <v>340</v>
      </c>
    </row>
    <row r="40" spans="1:11" s="1" customFormat="1" ht="15">
      <c r="A40" s="63"/>
      <c r="B40" s="31"/>
      <c r="C40" s="26">
        <f>C39/B39</f>
        <v>0.76953125</v>
      </c>
      <c r="D40" s="27">
        <f>D39/B39</f>
        <v>0.62109375</v>
      </c>
      <c r="E40" s="28">
        <f>E39/B39</f>
        <v>0.564453125</v>
      </c>
      <c r="F40" s="26">
        <f>F39/B39</f>
        <v>0.046875</v>
      </c>
      <c r="G40" s="27">
        <f>G39/B39</f>
        <v>0.08203125</v>
      </c>
      <c r="H40" s="28">
        <f>H39/B39</f>
        <v>0.099609375</v>
      </c>
      <c r="I40" s="26">
        <f>I39/B39</f>
        <v>0.81640625</v>
      </c>
      <c r="J40" s="27">
        <f>J39/B39</f>
        <v>0.703125</v>
      </c>
      <c r="K40" s="28">
        <f>K39/B39</f>
        <v>0.6640625</v>
      </c>
    </row>
    <row r="41" spans="1:11" s="44" customFormat="1" ht="18" customHeight="1">
      <c r="A41" s="93">
        <v>2007</v>
      </c>
      <c r="B41" s="94">
        <v>426</v>
      </c>
      <c r="C41" s="54">
        <v>292</v>
      </c>
      <c r="D41" s="95">
        <v>238</v>
      </c>
      <c r="E41" s="96">
        <v>229</v>
      </c>
      <c r="F41" s="54">
        <v>25</v>
      </c>
      <c r="G41" s="95">
        <v>38</v>
      </c>
      <c r="H41" s="96">
        <v>33</v>
      </c>
      <c r="I41" s="54">
        <f>F41+C41</f>
        <v>317</v>
      </c>
      <c r="J41" s="95">
        <f>G41+D41</f>
        <v>276</v>
      </c>
      <c r="K41" s="96">
        <f>H41+E41</f>
        <v>262</v>
      </c>
    </row>
    <row r="42" spans="1:11" s="44" customFormat="1" ht="18" customHeight="1">
      <c r="A42" s="97"/>
      <c r="B42" s="98"/>
      <c r="C42" s="34">
        <f>C41/B41</f>
        <v>0.6854460093896714</v>
      </c>
      <c r="D42" s="27">
        <f>D41/B41</f>
        <v>0.5586854460093896</v>
      </c>
      <c r="E42" s="28">
        <f>E41/B41</f>
        <v>0.5375586854460094</v>
      </c>
      <c r="F42" s="34">
        <f>F41/B41</f>
        <v>0.05868544600938967</v>
      </c>
      <c r="G42" s="27">
        <f>G41/B41</f>
        <v>0.0892018779342723</v>
      </c>
      <c r="H42" s="28">
        <f>H41/B41</f>
        <v>0.07746478873239436</v>
      </c>
      <c r="I42" s="34">
        <f>I41/B41</f>
        <v>0.744131455399061</v>
      </c>
      <c r="J42" s="27">
        <f>J41/B41</f>
        <v>0.647887323943662</v>
      </c>
      <c r="K42" s="28">
        <f>K41/B41</f>
        <v>0.6150234741784038</v>
      </c>
    </row>
    <row r="43" spans="1:11" s="44" customFormat="1" ht="18" customHeight="1">
      <c r="A43" s="93">
        <v>2008</v>
      </c>
      <c r="B43" s="94">
        <v>444</v>
      </c>
      <c r="C43" s="54">
        <v>322</v>
      </c>
      <c r="D43" s="95">
        <v>253</v>
      </c>
      <c r="E43" s="96">
        <v>231</v>
      </c>
      <c r="F43" s="54">
        <v>23</v>
      </c>
      <c r="G43" s="95">
        <v>44</v>
      </c>
      <c r="H43" s="96">
        <v>45</v>
      </c>
      <c r="I43" s="54">
        <f>F43+C43</f>
        <v>345</v>
      </c>
      <c r="J43" s="95">
        <f>G43+D43</f>
        <v>297</v>
      </c>
      <c r="K43" s="96">
        <f>H43+E43</f>
        <v>276</v>
      </c>
    </row>
    <row r="44" spans="1:11" s="44" customFormat="1" ht="18" customHeight="1">
      <c r="A44" s="97"/>
      <c r="B44" s="98"/>
      <c r="C44" s="34">
        <f>C43/B43</f>
        <v>0.7252252252252253</v>
      </c>
      <c r="D44" s="27">
        <f>D43/B43</f>
        <v>0.5698198198198198</v>
      </c>
      <c r="E44" s="28">
        <f>E43/B43</f>
        <v>0.5202702702702703</v>
      </c>
      <c r="F44" s="34">
        <f>F43/B43</f>
        <v>0.0518018018018018</v>
      </c>
      <c r="G44" s="27">
        <f>G43/B43</f>
        <v>0.0990990990990991</v>
      </c>
      <c r="H44" s="28">
        <f>H43/B43</f>
        <v>0.10135135135135136</v>
      </c>
      <c r="I44" s="34">
        <f>I43/B43</f>
        <v>0.777027027027027</v>
      </c>
      <c r="J44" s="27">
        <f>J43/B43</f>
        <v>0.668918918918919</v>
      </c>
      <c r="K44" s="28">
        <f>K43/B43</f>
        <v>0.6216216216216216</v>
      </c>
    </row>
    <row r="45" spans="1:11" s="44" customFormat="1" ht="18" customHeight="1">
      <c r="A45" s="93">
        <v>2009</v>
      </c>
      <c r="B45" s="94">
        <v>340</v>
      </c>
      <c r="C45" s="54">
        <v>244</v>
      </c>
      <c r="D45" s="95">
        <v>202</v>
      </c>
      <c r="E45" s="96">
        <v>188</v>
      </c>
      <c r="F45" s="54">
        <v>23</v>
      </c>
      <c r="G45" s="95">
        <v>35</v>
      </c>
      <c r="H45" s="96">
        <v>31</v>
      </c>
      <c r="I45" s="54">
        <f>F45+C45</f>
        <v>267</v>
      </c>
      <c r="J45" s="95">
        <f>G45+D45</f>
        <v>237</v>
      </c>
      <c r="K45" s="96">
        <f>H45+E45</f>
        <v>219</v>
      </c>
    </row>
    <row r="46" spans="1:11" s="44" customFormat="1" ht="18" customHeight="1">
      <c r="A46" s="97"/>
      <c r="B46" s="98"/>
      <c r="C46" s="34">
        <f>C45/B45</f>
        <v>0.7176470588235294</v>
      </c>
      <c r="D46" s="27">
        <f>D45/B45</f>
        <v>0.5941176470588235</v>
      </c>
      <c r="E46" s="28">
        <f>E45/B45</f>
        <v>0.5529411764705883</v>
      </c>
      <c r="F46" s="34">
        <f>F45/B45</f>
        <v>0.06764705882352941</v>
      </c>
      <c r="G46" s="27">
        <f>G45/B45</f>
        <v>0.10294117647058823</v>
      </c>
      <c r="H46" s="28">
        <f>H45/B45</f>
        <v>0.09117647058823529</v>
      </c>
      <c r="I46" s="34">
        <f>I45/B45</f>
        <v>0.7852941176470588</v>
      </c>
      <c r="J46" s="27">
        <f>J45/B45</f>
        <v>0.6970588235294117</v>
      </c>
      <c r="K46" s="28">
        <f>K45/B45</f>
        <v>0.6441176470588236</v>
      </c>
    </row>
    <row r="47" spans="1:11" s="44" customFormat="1" ht="18" customHeight="1">
      <c r="A47" s="93">
        <v>2010</v>
      </c>
      <c r="B47" s="94">
        <v>303</v>
      </c>
      <c r="C47" s="54">
        <v>228</v>
      </c>
      <c r="D47" s="95">
        <v>192</v>
      </c>
      <c r="E47" s="96">
        <v>178</v>
      </c>
      <c r="F47" s="54">
        <v>23</v>
      </c>
      <c r="G47" s="95">
        <v>25</v>
      </c>
      <c r="H47" s="96">
        <v>24</v>
      </c>
      <c r="I47" s="54">
        <f>F47+C47</f>
        <v>251</v>
      </c>
      <c r="J47" s="95">
        <f>G47+D47</f>
        <v>217</v>
      </c>
      <c r="K47" s="96">
        <f>H47+E47</f>
        <v>202</v>
      </c>
    </row>
    <row r="48" spans="1:11" s="44" customFormat="1" ht="18" customHeight="1">
      <c r="A48" s="97"/>
      <c r="B48" s="98"/>
      <c r="C48" s="34">
        <f>C47/B47</f>
        <v>0.7524752475247525</v>
      </c>
      <c r="D48" s="27">
        <f>D47/B47</f>
        <v>0.6336633663366337</v>
      </c>
      <c r="E48" s="28">
        <f>E47/B47</f>
        <v>0.5874587458745875</v>
      </c>
      <c r="F48" s="34">
        <f>F47/B47</f>
        <v>0.07590759075907591</v>
      </c>
      <c r="G48" s="27">
        <f>G47/B47</f>
        <v>0.08250825082508251</v>
      </c>
      <c r="H48" s="28">
        <f>H47/B47</f>
        <v>0.07920792079207921</v>
      </c>
      <c r="I48" s="34">
        <f>I47/B47</f>
        <v>0.8283828382838284</v>
      </c>
      <c r="J48" s="27">
        <f>J47/B47</f>
        <v>0.7161716171617162</v>
      </c>
      <c r="K48" s="28">
        <f>K47/B47</f>
        <v>0.6666666666666666</v>
      </c>
    </row>
    <row r="49" spans="1:11" s="44" customFormat="1" ht="18" customHeight="1">
      <c r="A49" s="93">
        <v>2011</v>
      </c>
      <c r="B49" s="94">
        <v>294</v>
      </c>
      <c r="C49" s="54">
        <v>214</v>
      </c>
      <c r="D49" s="95">
        <v>179</v>
      </c>
      <c r="E49" s="96">
        <v>167</v>
      </c>
      <c r="F49" s="54">
        <v>8</v>
      </c>
      <c r="G49" s="95">
        <v>16</v>
      </c>
      <c r="H49" s="96">
        <v>15</v>
      </c>
      <c r="I49" s="54">
        <f>F49+C49</f>
        <v>222</v>
      </c>
      <c r="J49" s="95">
        <f>G49+D49</f>
        <v>195</v>
      </c>
      <c r="K49" s="96">
        <f>H49+E49</f>
        <v>182</v>
      </c>
    </row>
    <row r="50" spans="1:11" s="44" customFormat="1" ht="18" customHeight="1">
      <c r="A50" s="97"/>
      <c r="B50" s="98"/>
      <c r="C50" s="34">
        <f>C49/B49</f>
        <v>0.7278911564625851</v>
      </c>
      <c r="D50" s="27">
        <f>D49/B49</f>
        <v>0.608843537414966</v>
      </c>
      <c r="E50" s="28">
        <f>E49/B49</f>
        <v>0.5680272108843537</v>
      </c>
      <c r="F50" s="34">
        <f>F49/B49</f>
        <v>0.027210884353741496</v>
      </c>
      <c r="G50" s="27">
        <f>G49/B49</f>
        <v>0.05442176870748299</v>
      </c>
      <c r="H50" s="28">
        <f>H49/B49</f>
        <v>0.05102040816326531</v>
      </c>
      <c r="I50" s="34">
        <f>I49/B49</f>
        <v>0.7551020408163265</v>
      </c>
      <c r="J50" s="27">
        <f>J49/B49</f>
        <v>0.6632653061224489</v>
      </c>
      <c r="K50" s="28">
        <f>K49/B49</f>
        <v>0.6190476190476191</v>
      </c>
    </row>
    <row r="51" spans="1:11" s="44" customFormat="1" ht="18" customHeight="1">
      <c r="A51" s="93">
        <v>2012</v>
      </c>
      <c r="B51" s="94">
        <v>376</v>
      </c>
      <c r="C51" s="54">
        <v>280</v>
      </c>
      <c r="D51" s="95">
        <v>239</v>
      </c>
      <c r="E51" s="96"/>
      <c r="F51" s="54">
        <v>19</v>
      </c>
      <c r="G51" s="95">
        <v>31</v>
      </c>
      <c r="H51" s="96"/>
      <c r="I51" s="54">
        <f>F51+C51</f>
        <v>299</v>
      </c>
      <c r="J51" s="95">
        <f>G51+D51</f>
        <v>270</v>
      </c>
      <c r="K51" s="96"/>
    </row>
    <row r="52" spans="1:11" s="44" customFormat="1" ht="18" customHeight="1">
      <c r="A52" s="97"/>
      <c r="B52" s="98"/>
      <c r="C52" s="34">
        <f>C51/B51</f>
        <v>0.7446808510638298</v>
      </c>
      <c r="D52" s="27">
        <f>D51/B51</f>
        <v>0.6356382978723404</v>
      </c>
      <c r="E52" s="28"/>
      <c r="F52" s="34">
        <f>F51/B51</f>
        <v>0.05053191489361702</v>
      </c>
      <c r="G52" s="27">
        <f>G51/B51</f>
        <v>0.08244680851063829</v>
      </c>
      <c r="H52" s="28"/>
      <c r="I52" s="34">
        <f>I51/B51</f>
        <v>0.7952127659574468</v>
      </c>
      <c r="J52" s="27">
        <f>J51/B51</f>
        <v>0.7180851063829787</v>
      </c>
      <c r="K52" s="28"/>
    </row>
    <row r="53" spans="1:11" s="44" customFormat="1" ht="18" customHeight="1">
      <c r="A53" s="93">
        <v>2013</v>
      </c>
      <c r="B53" s="94">
        <v>366</v>
      </c>
      <c r="C53" s="54">
        <v>268</v>
      </c>
      <c r="D53" s="95"/>
      <c r="E53" s="96"/>
      <c r="F53" s="54">
        <v>18</v>
      </c>
      <c r="G53" s="95"/>
      <c r="H53" s="96"/>
      <c r="I53" s="54">
        <f>F53+C53</f>
        <v>286</v>
      </c>
      <c r="J53" s="95"/>
      <c r="K53" s="96"/>
    </row>
    <row r="54" spans="1:11" s="44" customFormat="1" ht="18" customHeight="1" thickBot="1">
      <c r="A54" s="97"/>
      <c r="B54" s="98"/>
      <c r="C54" s="34">
        <f>C53/B53</f>
        <v>0.73224043715847</v>
      </c>
      <c r="D54" s="27"/>
      <c r="E54" s="28"/>
      <c r="F54" s="34">
        <f>F53/B53</f>
        <v>0.04918032786885246</v>
      </c>
      <c r="G54" s="27"/>
      <c r="H54" s="28"/>
      <c r="I54" s="34">
        <f>I53/B53</f>
        <v>0.7814207650273224</v>
      </c>
      <c r="J54" s="27"/>
      <c r="K54" s="28"/>
    </row>
    <row r="55" spans="1:11" s="79" customFormat="1" ht="16.5" thickBot="1">
      <c r="A55" s="74" t="s">
        <v>12</v>
      </c>
      <c r="B55" s="75">
        <f>AVERAGE(B39:B53)</f>
        <v>382.625</v>
      </c>
      <c r="C55" s="76">
        <f>((C40*$B$39)+(C42*$B$41)+(C44*B43)+(C46*B45)+(C48*B47)+(C50*B49)+(C52*B51)+(C54*B53))/($B$39+$B$41+B43+B45+B47+B49+B51+B53)</f>
        <v>0.7324403789611238</v>
      </c>
      <c r="D55" s="77">
        <f>((D40*$B$39)+(D42*B41)+(D44*B43)+(D46*B45)+(D48*B47)+(D50*B49)+(D52*B51))/($B$39+B41+B43+B45+B47+B49+B51)</f>
        <v>0.6014842300556587</v>
      </c>
      <c r="E55" s="78">
        <f>((E40*B39)+(E42*B41)+(E44*B43)+(E46*B45)+(E48*B47)+(E50*B49))/(B39+B41+B43+B45+B47+B49)</f>
        <v>0.5528244933160845</v>
      </c>
      <c r="F55" s="76">
        <f>((F40*$B$39)+(F42*$B$41)+(F44*B43)+(F46*B45)+(F48*B47)+(F50*B49)+(F52*B51)+(F54*B53))/($B$39+B41+B43+B45+B47+B49+B51+B53)</f>
        <v>0.053250571708591966</v>
      </c>
      <c r="G55" s="77">
        <f>((G40*$B$39)+(G42*B41)+(G44*B43)+(G46*B45)+(G48*B47)+(G50*B49)+(G52*B51))/($B$39+B41+B43+B45+B47+B49+B51)</f>
        <v>0.08571428571428572</v>
      </c>
      <c r="H55" s="78">
        <f>((H40*B39)+(H42*B41)+(H44*B43)+(H46*B45)+(H48*B47)+(H50*B49))/(B39+B41+B43+B45+B47+B49)</f>
        <v>0.0858128503665373</v>
      </c>
      <c r="I55" s="76">
        <f>(I39+I41+I43+I45+I47+I49+I51+I53)/($B$39+$B$41+$B$43+$B$45+$B$47+$B$49+$B$51+$B$53)</f>
        <v>0.7856909506697157</v>
      </c>
      <c r="J55" s="77">
        <f>(J39+J41+J43+J45+J47+J49+J51)/($B$39+$B$41+$B$43+$B$45+$B$47+$B$49+$B$51)</f>
        <v>0.6871985157699444</v>
      </c>
      <c r="K55" s="78">
        <f>(K39+K41+K43+K45+K47+K49)/($B$39+$B$41+$B$43+$B$45+$B$47+$B$49)</f>
        <v>0.6386373436826218</v>
      </c>
    </row>
    <row r="56" ht="13.5" thickBot="1"/>
    <row r="57" spans="1:11" s="1" customFormat="1" ht="16.5" thickBot="1">
      <c r="A57" s="74" t="s">
        <v>13</v>
      </c>
      <c r="B57" s="75">
        <f>AVERAGE(B47:B51)</f>
        <v>324.3333333333333</v>
      </c>
      <c r="C57" s="76">
        <f>(C47+C49+C51)/($B$47+$B$49+$B$51)</f>
        <v>0.7420349434737924</v>
      </c>
      <c r="D57" s="77">
        <f>(D45+D47+D49)/($B$45+$B$47+$B$49)</f>
        <v>0.6115261472785486</v>
      </c>
      <c r="E57" s="78">
        <f>(E43+E45+E47)/($B$43+$B$45+$B$47)</f>
        <v>0.5492180312787488</v>
      </c>
      <c r="F57" s="76">
        <f>(F47+F49+F51)/($B$47+$B$49+$B$51)</f>
        <v>0.051387461459403906</v>
      </c>
      <c r="G57" s="77">
        <f>(G45+G47+G49)/($B$45+$B$47+$B$49)</f>
        <v>0.08110992529348986</v>
      </c>
      <c r="H57" s="78">
        <f>(H43+H45+H47)/($B$43+$B$45+$B$47)</f>
        <v>0.09199632014719411</v>
      </c>
      <c r="I57" s="112">
        <f>(I47+I49+I51)/($B$47+$B$49+$B$51)</f>
        <v>0.7934224049331963</v>
      </c>
      <c r="J57" s="113">
        <f>(J45+J47+J49)/($B$45+$B$47+$B$49)</f>
        <v>0.6926360725720384</v>
      </c>
      <c r="K57" s="78">
        <f>(K43+K45+K47)/($B$43+$B$45+$B$47)</f>
        <v>0.641214351425943</v>
      </c>
    </row>
    <row r="58" spans="9:10" s="1" customFormat="1" ht="10.5" customHeight="1" thickBot="1">
      <c r="I58" s="114"/>
      <c r="J58" s="114"/>
    </row>
    <row r="59" spans="1:11" s="1" customFormat="1" ht="16.5" thickBot="1">
      <c r="A59" s="74" t="s">
        <v>14</v>
      </c>
      <c r="B59" s="75">
        <f>AVERAGE(B49:B53)</f>
        <v>345.3333333333333</v>
      </c>
      <c r="C59" s="76">
        <f>(C49+C51+C53)/($B$49+$B$51+$B$53)</f>
        <v>0.7355212355212355</v>
      </c>
      <c r="D59" s="77">
        <f>(D47+D49+D51)/($B$47+$B$49+$B$51)</f>
        <v>0.6269270298047277</v>
      </c>
      <c r="E59" s="78">
        <f>(E45+E47+E49)/($B$45+$B$47+$B$49)</f>
        <v>0.5688367129135539</v>
      </c>
      <c r="F59" s="76">
        <f>(F49+F51+F53)/($B$49+$B$51+$B$53)</f>
        <v>0.04343629343629344</v>
      </c>
      <c r="G59" s="77">
        <f>(G47+G49+G51)/($B$47+$B$49+$B$51)</f>
        <v>0.07399794450154162</v>
      </c>
      <c r="H59" s="78">
        <f>(H45+H47+H49)/($B$45+$B$47+$B$49)</f>
        <v>0.07470651013874066</v>
      </c>
      <c r="I59" s="112">
        <f>(I49+I51+I53)/($B$49+$B$51+$B$53)</f>
        <v>0.778957528957529</v>
      </c>
      <c r="J59" s="113">
        <f>(J47+J49+J51)/($B$47+$B$49+$B$51)</f>
        <v>0.7009249743062693</v>
      </c>
      <c r="K59" s="78">
        <f>(K45+K47+K49)/($B$45+$B$47+$B$49)</f>
        <v>0.6435432230522946</v>
      </c>
    </row>
    <row r="60" spans="1:11" s="1" customFormat="1" ht="12.75">
      <c r="A60" s="111" t="s">
        <v>15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</sheetData>
  <sheetProtection/>
  <mergeCells count="5">
    <mergeCell ref="C2:E2"/>
    <mergeCell ref="F2:H2"/>
    <mergeCell ref="I2:K2"/>
    <mergeCell ref="A19:K19"/>
    <mergeCell ref="A60:K60"/>
  </mergeCells>
  <printOptions horizontalCentered="1"/>
  <pageMargins left="0.75" right="0.75" top="1.32" bottom="0.51" header="0.7" footer="0.25"/>
  <pageSetup fitToHeight="1" fitToWidth="1" orientation="landscape" scale="53" r:id="rId2"/>
  <headerFooter alignWithMargins="0">
    <oddHeader>&amp;L&amp;G&amp;C&amp;"Frutiger LT 55 Roman,Bold"&amp;14The Peter J. Tobin College of Business-Queens Campus*
Retention Rates for Full-time Baccalaureate Degree-Seeking First-time Freshmen
Fall 1990 - Fall 2013</oddHeader>
    <oddFooter>&amp;L&amp;"Frutiger LT 55 Roman,Italic"&amp;8*Beginning in Fall 2001, students from the Manhattan campus are included.
Prepared by: Office of Institutional Research (rg,sc)&amp;R&amp;"Frutiger LT 55 Roman,Italic"&amp;8Based on data as of 10/14/2014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zoomScaleSheetLayoutView="75" workbookViewId="0" topLeftCell="A34">
      <selection activeCell="I57" sqref="I57:J59"/>
    </sheetView>
  </sheetViews>
  <sheetFormatPr defaultColWidth="9.140625" defaultRowHeight="12.75"/>
  <cols>
    <col min="1" max="1" width="16.7109375" style="1" bestFit="1" customWidth="1"/>
    <col min="2" max="2" width="9.28125" style="1" bestFit="1" customWidth="1"/>
    <col min="3" max="5" width="13.57421875" style="1" customWidth="1"/>
    <col min="6" max="6" width="11.421875" style="1" bestFit="1" customWidth="1"/>
    <col min="7" max="7" width="9.28125" style="1" bestFit="1" customWidth="1"/>
    <col min="8" max="8" width="9.8515625" style="1" customWidth="1"/>
    <col min="9" max="9" width="11.421875" style="1" bestFit="1" customWidth="1"/>
    <col min="10" max="11" width="9.28125" style="1" bestFit="1" customWidth="1"/>
    <col min="12" max="16384" width="9.140625" style="1" customWidth="1"/>
  </cols>
  <sheetData>
    <row r="1" ht="13.5" thickBot="1"/>
    <row r="2" spans="1:11" s="4" customFormat="1" ht="15.75">
      <c r="A2" s="2"/>
      <c r="B2" s="3"/>
      <c r="C2" s="105" t="s">
        <v>0</v>
      </c>
      <c r="D2" s="106"/>
      <c r="E2" s="107"/>
      <c r="F2" s="105" t="s">
        <v>1</v>
      </c>
      <c r="G2" s="106"/>
      <c r="H2" s="107"/>
      <c r="I2" s="105" t="s">
        <v>2</v>
      </c>
      <c r="J2" s="106"/>
      <c r="K2" s="107"/>
    </row>
    <row r="3" spans="1:11" s="4" customFormat="1" ht="12.75">
      <c r="A3" s="5" t="s">
        <v>3</v>
      </c>
      <c r="B3" s="6" t="s">
        <v>4</v>
      </c>
      <c r="C3" s="5" t="s">
        <v>5</v>
      </c>
      <c r="D3" s="6" t="s">
        <v>5</v>
      </c>
      <c r="E3" s="7" t="s">
        <v>5</v>
      </c>
      <c r="F3" s="5" t="s">
        <v>5</v>
      </c>
      <c r="G3" s="6" t="s">
        <v>5</v>
      </c>
      <c r="H3" s="7" t="s">
        <v>5</v>
      </c>
      <c r="I3" s="5" t="s">
        <v>5</v>
      </c>
      <c r="J3" s="6" t="s">
        <v>5</v>
      </c>
      <c r="K3" s="7" t="s">
        <v>5</v>
      </c>
    </row>
    <row r="4" spans="1:11" s="4" customFormat="1" ht="12.75">
      <c r="A4" s="8" t="s">
        <v>6</v>
      </c>
      <c r="B4" s="9" t="s">
        <v>7</v>
      </c>
      <c r="C4" s="8" t="s">
        <v>8</v>
      </c>
      <c r="D4" s="9" t="s">
        <v>9</v>
      </c>
      <c r="E4" s="10" t="s">
        <v>10</v>
      </c>
      <c r="F4" s="8" t="s">
        <v>8</v>
      </c>
      <c r="G4" s="9" t="s">
        <v>9</v>
      </c>
      <c r="H4" s="10" t="s">
        <v>10</v>
      </c>
      <c r="I4" s="8" t="s">
        <v>8</v>
      </c>
      <c r="J4" s="9" t="s">
        <v>9</v>
      </c>
      <c r="K4" s="10" t="s">
        <v>10</v>
      </c>
    </row>
    <row r="5" spans="1:11" s="4" customFormat="1" ht="15">
      <c r="A5" s="11">
        <v>1990</v>
      </c>
      <c r="B5" s="12">
        <v>108</v>
      </c>
      <c r="C5" s="13">
        <v>81</v>
      </c>
      <c r="D5" s="12">
        <v>65</v>
      </c>
      <c r="E5" s="14">
        <v>61</v>
      </c>
      <c r="F5" s="13">
        <v>10</v>
      </c>
      <c r="G5" s="12">
        <v>15</v>
      </c>
      <c r="H5" s="14">
        <v>17</v>
      </c>
      <c r="I5" s="13">
        <f>C5+F5</f>
        <v>91</v>
      </c>
      <c r="J5" s="12">
        <f>D5+G5</f>
        <v>80</v>
      </c>
      <c r="K5" s="14">
        <f>E5+H5</f>
        <v>78</v>
      </c>
    </row>
    <row r="6" spans="1:11" s="4" customFormat="1" ht="15">
      <c r="A6" s="15"/>
      <c r="B6" s="16"/>
      <c r="C6" s="17">
        <f aca="true" t="shared" si="0" ref="C6:K6">C5/$B$5</f>
        <v>0.75</v>
      </c>
      <c r="D6" s="18">
        <f t="shared" si="0"/>
        <v>0.6018518518518519</v>
      </c>
      <c r="E6" s="19">
        <f t="shared" si="0"/>
        <v>0.5648148148148148</v>
      </c>
      <c r="F6" s="17">
        <f t="shared" si="0"/>
        <v>0.09259259259259259</v>
      </c>
      <c r="G6" s="18">
        <f t="shared" si="0"/>
        <v>0.1388888888888889</v>
      </c>
      <c r="H6" s="19">
        <f t="shared" si="0"/>
        <v>0.1574074074074074</v>
      </c>
      <c r="I6" s="17">
        <f t="shared" si="0"/>
        <v>0.8425925925925926</v>
      </c>
      <c r="J6" s="18">
        <f t="shared" si="0"/>
        <v>0.7407407407407407</v>
      </c>
      <c r="K6" s="19">
        <f t="shared" si="0"/>
        <v>0.7222222222222222</v>
      </c>
    </row>
    <row r="7" spans="1:11" s="4" customFormat="1" ht="15">
      <c r="A7" s="11">
        <v>1991</v>
      </c>
      <c r="B7" s="12">
        <v>89</v>
      </c>
      <c r="C7" s="13">
        <v>70</v>
      </c>
      <c r="D7" s="12">
        <v>58</v>
      </c>
      <c r="E7" s="14">
        <v>50</v>
      </c>
      <c r="F7" s="13">
        <v>4</v>
      </c>
      <c r="G7" s="12">
        <v>6</v>
      </c>
      <c r="H7" s="14">
        <v>10</v>
      </c>
      <c r="I7" s="13">
        <f>C7+F7</f>
        <v>74</v>
      </c>
      <c r="J7" s="12">
        <f>D7+G7</f>
        <v>64</v>
      </c>
      <c r="K7" s="14">
        <f>E7+H7</f>
        <v>60</v>
      </c>
    </row>
    <row r="8" spans="1:11" s="4" customFormat="1" ht="15">
      <c r="A8" s="15"/>
      <c r="B8" s="16"/>
      <c r="C8" s="17">
        <f aca="true" t="shared" si="1" ref="C8:K8">C7/$B$7</f>
        <v>0.7865168539325843</v>
      </c>
      <c r="D8" s="18">
        <f t="shared" si="1"/>
        <v>0.651685393258427</v>
      </c>
      <c r="E8" s="19">
        <f t="shared" si="1"/>
        <v>0.5617977528089888</v>
      </c>
      <c r="F8" s="17">
        <f t="shared" si="1"/>
        <v>0.0449438202247191</v>
      </c>
      <c r="G8" s="18">
        <f t="shared" si="1"/>
        <v>0.06741573033707865</v>
      </c>
      <c r="H8" s="19">
        <f t="shared" si="1"/>
        <v>0.11235955056179775</v>
      </c>
      <c r="I8" s="17">
        <f t="shared" si="1"/>
        <v>0.8314606741573034</v>
      </c>
      <c r="J8" s="18">
        <f t="shared" si="1"/>
        <v>0.7191011235955056</v>
      </c>
      <c r="K8" s="19">
        <f t="shared" si="1"/>
        <v>0.6741573033707865</v>
      </c>
    </row>
    <row r="9" spans="1:11" ht="15">
      <c r="A9" s="20">
        <v>1992</v>
      </c>
      <c r="B9" s="21">
        <v>57</v>
      </c>
      <c r="C9" s="22">
        <v>42</v>
      </c>
      <c r="D9" s="21">
        <v>34</v>
      </c>
      <c r="E9" s="23">
        <v>31</v>
      </c>
      <c r="F9" s="22">
        <v>6</v>
      </c>
      <c r="G9" s="21">
        <v>8</v>
      </c>
      <c r="H9" s="23">
        <v>10</v>
      </c>
      <c r="I9" s="22">
        <f>C9+F9</f>
        <v>48</v>
      </c>
      <c r="J9" s="21">
        <f>D9+G9</f>
        <v>42</v>
      </c>
      <c r="K9" s="23">
        <f>E9+H9</f>
        <v>41</v>
      </c>
    </row>
    <row r="10" spans="1:11" ht="15">
      <c r="A10" s="24"/>
      <c r="B10" s="25"/>
      <c r="C10" s="26">
        <f aca="true" t="shared" si="2" ref="C10:K10">C9/$B$9</f>
        <v>0.7368421052631579</v>
      </c>
      <c r="D10" s="27">
        <f t="shared" si="2"/>
        <v>0.5964912280701754</v>
      </c>
      <c r="E10" s="28">
        <f t="shared" si="2"/>
        <v>0.543859649122807</v>
      </c>
      <c r="F10" s="26">
        <f t="shared" si="2"/>
        <v>0.10526315789473684</v>
      </c>
      <c r="G10" s="27">
        <f t="shared" si="2"/>
        <v>0.14035087719298245</v>
      </c>
      <c r="H10" s="28">
        <f t="shared" si="2"/>
        <v>0.17543859649122806</v>
      </c>
      <c r="I10" s="26">
        <f t="shared" si="2"/>
        <v>0.8421052631578947</v>
      </c>
      <c r="J10" s="27">
        <f t="shared" si="2"/>
        <v>0.7368421052631579</v>
      </c>
      <c r="K10" s="28">
        <f t="shared" si="2"/>
        <v>0.7192982456140351</v>
      </c>
    </row>
    <row r="11" spans="1:11" ht="15">
      <c r="A11" s="11">
        <v>1993</v>
      </c>
      <c r="B11" s="12">
        <v>63</v>
      </c>
      <c r="C11" s="13">
        <v>54</v>
      </c>
      <c r="D11" s="12">
        <v>51</v>
      </c>
      <c r="E11" s="14">
        <v>42</v>
      </c>
      <c r="F11" s="13">
        <v>4</v>
      </c>
      <c r="G11" s="12">
        <v>6</v>
      </c>
      <c r="H11" s="14">
        <v>9</v>
      </c>
      <c r="I11" s="13">
        <v>58</v>
      </c>
      <c r="J11" s="12">
        <v>57</v>
      </c>
      <c r="K11" s="14">
        <v>51</v>
      </c>
    </row>
    <row r="12" spans="1:11" ht="15">
      <c r="A12" s="15"/>
      <c r="B12" s="16"/>
      <c r="C12" s="17">
        <f aca="true" t="shared" si="3" ref="C12:I12">C11/$B$11</f>
        <v>0.8571428571428571</v>
      </c>
      <c r="D12" s="18">
        <f t="shared" si="3"/>
        <v>0.8095238095238095</v>
      </c>
      <c r="E12" s="19">
        <f t="shared" si="3"/>
        <v>0.6666666666666666</v>
      </c>
      <c r="F12" s="17">
        <f t="shared" si="3"/>
        <v>0.06349206349206349</v>
      </c>
      <c r="G12" s="18">
        <f t="shared" si="3"/>
        <v>0.09523809523809523</v>
      </c>
      <c r="H12" s="19">
        <f t="shared" si="3"/>
        <v>0.14285714285714285</v>
      </c>
      <c r="I12" s="17">
        <f t="shared" si="3"/>
        <v>0.9206349206349206</v>
      </c>
      <c r="J12" s="29">
        <v>0.91</v>
      </c>
      <c r="K12" s="19">
        <f>K11/$B$11</f>
        <v>0.8095238095238095</v>
      </c>
    </row>
    <row r="13" spans="1:11" ht="15">
      <c r="A13" s="20">
        <v>1994</v>
      </c>
      <c r="B13" s="21">
        <v>67</v>
      </c>
      <c r="C13" s="22">
        <v>54</v>
      </c>
      <c r="D13" s="21">
        <v>46</v>
      </c>
      <c r="E13" s="23">
        <v>45</v>
      </c>
      <c r="F13" s="22">
        <v>4</v>
      </c>
      <c r="G13" s="21">
        <v>10</v>
      </c>
      <c r="H13" s="23">
        <v>11</v>
      </c>
      <c r="I13" s="22">
        <f>C13+F13</f>
        <v>58</v>
      </c>
      <c r="J13" s="21">
        <f>D13+G13</f>
        <v>56</v>
      </c>
      <c r="K13" s="23">
        <f>E13+H13</f>
        <v>56</v>
      </c>
    </row>
    <row r="14" spans="1:11" ht="15">
      <c r="A14" s="24"/>
      <c r="B14" s="25"/>
      <c r="C14" s="26">
        <f aca="true" t="shared" si="4" ref="C14:K14">C13/$B$13</f>
        <v>0.8059701492537313</v>
      </c>
      <c r="D14" s="27">
        <f t="shared" si="4"/>
        <v>0.6865671641791045</v>
      </c>
      <c r="E14" s="28">
        <f t="shared" si="4"/>
        <v>0.6716417910447762</v>
      </c>
      <c r="F14" s="26">
        <f t="shared" si="4"/>
        <v>0.05970149253731343</v>
      </c>
      <c r="G14" s="27">
        <f t="shared" si="4"/>
        <v>0.14925373134328357</v>
      </c>
      <c r="H14" s="28">
        <f t="shared" si="4"/>
        <v>0.16417910447761194</v>
      </c>
      <c r="I14" s="26">
        <f t="shared" si="4"/>
        <v>0.8656716417910447</v>
      </c>
      <c r="J14" s="27">
        <f t="shared" si="4"/>
        <v>0.835820895522388</v>
      </c>
      <c r="K14" s="28">
        <f t="shared" si="4"/>
        <v>0.835820895522388</v>
      </c>
    </row>
    <row r="15" spans="1:11" ht="15">
      <c r="A15" s="20">
        <v>1995</v>
      </c>
      <c r="B15" s="21">
        <v>71</v>
      </c>
      <c r="C15" s="22">
        <v>63</v>
      </c>
      <c r="D15" s="21">
        <v>51</v>
      </c>
      <c r="E15" s="23">
        <v>50</v>
      </c>
      <c r="F15" s="22">
        <v>3</v>
      </c>
      <c r="G15" s="21">
        <v>8</v>
      </c>
      <c r="H15" s="23">
        <v>9</v>
      </c>
      <c r="I15" s="13">
        <f>C15+F15</f>
        <v>66</v>
      </c>
      <c r="J15" s="12">
        <f>D15+G15</f>
        <v>59</v>
      </c>
      <c r="K15" s="14">
        <f>E15+H15</f>
        <v>59</v>
      </c>
    </row>
    <row r="16" spans="1:11" ht="15.75" thickBot="1">
      <c r="A16" s="82"/>
      <c r="B16" s="64"/>
      <c r="C16" s="84">
        <f aca="true" t="shared" si="5" ref="C16:K16">C15/$B$15</f>
        <v>0.8873239436619719</v>
      </c>
      <c r="D16" s="70">
        <f t="shared" si="5"/>
        <v>0.7183098591549296</v>
      </c>
      <c r="E16" s="85">
        <f t="shared" si="5"/>
        <v>0.704225352112676</v>
      </c>
      <c r="F16" s="84">
        <f t="shared" si="5"/>
        <v>0.04225352112676056</v>
      </c>
      <c r="G16" s="70">
        <f t="shared" si="5"/>
        <v>0.11267605633802817</v>
      </c>
      <c r="H16" s="85">
        <f t="shared" si="5"/>
        <v>0.1267605633802817</v>
      </c>
      <c r="I16" s="65">
        <f t="shared" si="5"/>
        <v>0.9295774647887324</v>
      </c>
      <c r="J16" s="67">
        <f t="shared" si="5"/>
        <v>0.8309859154929577</v>
      </c>
      <c r="K16" s="85">
        <f t="shared" si="5"/>
        <v>0.8309859154929577</v>
      </c>
    </row>
    <row r="17" spans="1:11" ht="15.75" thickTop="1">
      <c r="A17" s="86">
        <v>1996</v>
      </c>
      <c r="B17" s="89">
        <v>69</v>
      </c>
      <c r="C17" s="88">
        <v>57</v>
      </c>
      <c r="D17" s="89">
        <v>51</v>
      </c>
      <c r="E17" s="87">
        <v>49</v>
      </c>
      <c r="F17" s="88">
        <v>4</v>
      </c>
      <c r="G17" s="89">
        <v>4</v>
      </c>
      <c r="H17" s="87">
        <v>5</v>
      </c>
      <c r="I17" s="88">
        <f>C17+F17</f>
        <v>61</v>
      </c>
      <c r="J17" s="89">
        <f>D17+G17</f>
        <v>55</v>
      </c>
      <c r="K17" s="87">
        <f>E17+H17</f>
        <v>54</v>
      </c>
    </row>
    <row r="18" spans="1:11" ht="18" customHeight="1">
      <c r="A18" s="24"/>
      <c r="B18" s="25"/>
      <c r="C18" s="26">
        <f aca="true" t="shared" si="6" ref="C18:K18">(C17/$B$17)</f>
        <v>0.8260869565217391</v>
      </c>
      <c r="D18" s="27">
        <f t="shared" si="6"/>
        <v>0.7391304347826086</v>
      </c>
      <c r="E18" s="28">
        <f t="shared" si="6"/>
        <v>0.7101449275362319</v>
      </c>
      <c r="F18" s="26">
        <f t="shared" si="6"/>
        <v>0.057971014492753624</v>
      </c>
      <c r="G18" s="27">
        <f t="shared" si="6"/>
        <v>0.057971014492753624</v>
      </c>
      <c r="H18" s="28">
        <f t="shared" si="6"/>
        <v>0.07246376811594203</v>
      </c>
      <c r="I18" s="26">
        <f t="shared" si="6"/>
        <v>0.8840579710144928</v>
      </c>
      <c r="J18" s="27">
        <f t="shared" si="6"/>
        <v>0.7971014492753623</v>
      </c>
      <c r="K18" s="28">
        <f t="shared" si="6"/>
        <v>0.782608695652174</v>
      </c>
    </row>
    <row r="19" spans="1:11" ht="18" customHeight="1">
      <c r="A19" s="108" t="s">
        <v>11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ht="15">
      <c r="A20" s="20">
        <v>1997</v>
      </c>
      <c r="B20" s="21">
        <v>91</v>
      </c>
      <c r="C20" s="22">
        <v>82</v>
      </c>
      <c r="D20" s="21">
        <v>70</v>
      </c>
      <c r="E20" s="23">
        <v>67</v>
      </c>
      <c r="F20" s="22">
        <v>4</v>
      </c>
      <c r="G20" s="21">
        <v>9</v>
      </c>
      <c r="H20" s="23">
        <v>9</v>
      </c>
      <c r="I20" s="22">
        <f>C20+F20</f>
        <v>86</v>
      </c>
      <c r="J20" s="21">
        <f>D20+G20</f>
        <v>79</v>
      </c>
      <c r="K20" s="23">
        <f>SUM(E20,H20)</f>
        <v>76</v>
      </c>
    </row>
    <row r="21" spans="1:11" ht="18" customHeight="1">
      <c r="A21" s="24"/>
      <c r="B21" s="25"/>
      <c r="C21" s="26">
        <f aca="true" t="shared" si="7" ref="C21:K21">(C20/$B$20)</f>
        <v>0.9010989010989011</v>
      </c>
      <c r="D21" s="27">
        <f t="shared" si="7"/>
        <v>0.7692307692307693</v>
      </c>
      <c r="E21" s="28">
        <f t="shared" si="7"/>
        <v>0.7362637362637363</v>
      </c>
      <c r="F21" s="26">
        <f t="shared" si="7"/>
        <v>0.04395604395604396</v>
      </c>
      <c r="G21" s="27">
        <f t="shared" si="7"/>
        <v>0.0989010989010989</v>
      </c>
      <c r="H21" s="28">
        <f t="shared" si="7"/>
        <v>0.0989010989010989</v>
      </c>
      <c r="I21" s="26">
        <f t="shared" si="7"/>
        <v>0.945054945054945</v>
      </c>
      <c r="J21" s="27">
        <f t="shared" si="7"/>
        <v>0.8681318681318682</v>
      </c>
      <c r="K21" s="28">
        <f t="shared" si="7"/>
        <v>0.8351648351648352</v>
      </c>
    </row>
    <row r="22" spans="1:11" ht="15">
      <c r="A22" s="20">
        <v>1998</v>
      </c>
      <c r="B22" s="21">
        <v>118</v>
      </c>
      <c r="C22" s="22">
        <v>104</v>
      </c>
      <c r="D22" s="99">
        <v>91</v>
      </c>
      <c r="E22" s="23">
        <v>87</v>
      </c>
      <c r="F22" s="22">
        <v>4</v>
      </c>
      <c r="G22" s="21">
        <v>11</v>
      </c>
      <c r="H22" s="23">
        <v>10</v>
      </c>
      <c r="I22" s="22">
        <f>C22+F22</f>
        <v>108</v>
      </c>
      <c r="J22" s="21">
        <f>D22+G22</f>
        <v>102</v>
      </c>
      <c r="K22" s="23">
        <f>SUM(E22,H22)</f>
        <v>97</v>
      </c>
    </row>
    <row r="23" spans="1:11" ht="18" customHeight="1">
      <c r="A23" s="24"/>
      <c r="B23" s="25"/>
      <c r="C23" s="26">
        <f aca="true" t="shared" si="8" ref="C23:K23">(C22/$B$22)</f>
        <v>0.8813559322033898</v>
      </c>
      <c r="D23" s="27">
        <f t="shared" si="8"/>
        <v>0.7711864406779662</v>
      </c>
      <c r="E23" s="28">
        <f t="shared" si="8"/>
        <v>0.7372881355932204</v>
      </c>
      <c r="F23" s="26">
        <f t="shared" si="8"/>
        <v>0.03389830508474576</v>
      </c>
      <c r="G23" s="27">
        <f t="shared" si="8"/>
        <v>0.09322033898305085</v>
      </c>
      <c r="H23" s="28">
        <f t="shared" si="8"/>
        <v>0.0847457627118644</v>
      </c>
      <c r="I23" s="26">
        <f t="shared" si="8"/>
        <v>0.9152542372881356</v>
      </c>
      <c r="J23" s="27">
        <f t="shared" si="8"/>
        <v>0.864406779661017</v>
      </c>
      <c r="K23" s="28">
        <f t="shared" si="8"/>
        <v>0.8220338983050848</v>
      </c>
    </row>
    <row r="24" spans="1:11" ht="15">
      <c r="A24" s="100">
        <v>1999</v>
      </c>
      <c r="B24" s="99">
        <v>95</v>
      </c>
      <c r="C24" s="101">
        <v>79</v>
      </c>
      <c r="D24" s="99">
        <v>63</v>
      </c>
      <c r="E24" s="102">
        <v>60</v>
      </c>
      <c r="F24" s="101">
        <v>4</v>
      </c>
      <c r="G24" s="99">
        <v>12</v>
      </c>
      <c r="H24" s="102">
        <v>10</v>
      </c>
      <c r="I24" s="101">
        <f>C24+F24</f>
        <v>83</v>
      </c>
      <c r="J24" s="99">
        <f>SUM(D24,G24)</f>
        <v>75</v>
      </c>
      <c r="K24" s="102">
        <f>SUM(E24,H24)</f>
        <v>70</v>
      </c>
    </row>
    <row r="25" spans="1:11" ht="15">
      <c r="A25" s="24"/>
      <c r="B25" s="25"/>
      <c r="C25" s="26">
        <f>(C24/$B$24)</f>
        <v>0.8315789473684211</v>
      </c>
      <c r="D25" s="27">
        <f aca="true" t="shared" si="9" ref="D25:K25">(D24/$B$24)</f>
        <v>0.6631578947368421</v>
      </c>
      <c r="E25" s="28">
        <f t="shared" si="9"/>
        <v>0.631578947368421</v>
      </c>
      <c r="F25" s="26">
        <f t="shared" si="9"/>
        <v>0.042105263157894736</v>
      </c>
      <c r="G25" s="27">
        <f t="shared" si="9"/>
        <v>0.12631578947368421</v>
      </c>
      <c r="H25" s="28">
        <f t="shared" si="9"/>
        <v>0.10526315789473684</v>
      </c>
      <c r="I25" s="26">
        <f t="shared" si="9"/>
        <v>0.8736842105263158</v>
      </c>
      <c r="J25" s="27">
        <f t="shared" si="9"/>
        <v>0.7894736842105263</v>
      </c>
      <c r="K25" s="28">
        <f t="shared" si="9"/>
        <v>0.7368421052631579</v>
      </c>
    </row>
    <row r="26" spans="1:11" s="44" customFormat="1" ht="15">
      <c r="A26" s="38">
        <v>2000</v>
      </c>
      <c r="B26" s="39">
        <v>93</v>
      </c>
      <c r="C26" s="40">
        <v>77</v>
      </c>
      <c r="D26" s="41">
        <v>62</v>
      </c>
      <c r="E26" s="42">
        <v>57</v>
      </c>
      <c r="F26" s="40">
        <v>5</v>
      </c>
      <c r="G26" s="41">
        <v>12</v>
      </c>
      <c r="H26" s="42">
        <v>14</v>
      </c>
      <c r="I26" s="40">
        <f>SUM(C26,F26)</f>
        <v>82</v>
      </c>
      <c r="J26" s="41">
        <f>SUM(D26,G26)</f>
        <v>74</v>
      </c>
      <c r="K26" s="42">
        <v>71</v>
      </c>
    </row>
    <row r="27" spans="1:11" s="62" customFormat="1" ht="15">
      <c r="A27" s="24"/>
      <c r="B27" s="25"/>
      <c r="C27" s="26">
        <f>(C26/$B$26)</f>
        <v>0.8279569892473119</v>
      </c>
      <c r="D27" s="27">
        <f aca="true" t="shared" si="10" ref="D27:J27">(D26/$B$26)</f>
        <v>0.6666666666666666</v>
      </c>
      <c r="E27" s="28">
        <v>0.61</v>
      </c>
      <c r="F27" s="26">
        <f t="shared" si="10"/>
        <v>0.053763440860215055</v>
      </c>
      <c r="G27" s="27">
        <f t="shared" si="10"/>
        <v>0.12903225806451613</v>
      </c>
      <c r="H27" s="28">
        <v>0.15</v>
      </c>
      <c r="I27" s="26">
        <f t="shared" si="10"/>
        <v>0.8817204301075269</v>
      </c>
      <c r="J27" s="27">
        <f t="shared" si="10"/>
        <v>0.7956989247311828</v>
      </c>
      <c r="K27" s="28">
        <v>0.76</v>
      </c>
    </row>
    <row r="28" spans="1:11" s="44" customFormat="1" ht="15">
      <c r="A28" s="38">
        <v>2001</v>
      </c>
      <c r="B28" s="39">
        <v>101</v>
      </c>
      <c r="C28" s="40">
        <v>83</v>
      </c>
      <c r="D28" s="41">
        <v>72</v>
      </c>
      <c r="E28" s="42">
        <v>67</v>
      </c>
      <c r="F28" s="40">
        <v>5</v>
      </c>
      <c r="G28" s="41">
        <v>11</v>
      </c>
      <c r="H28" s="42">
        <v>11</v>
      </c>
      <c r="I28" s="40">
        <f>SUM(C28,F28)</f>
        <v>88</v>
      </c>
      <c r="J28" s="41">
        <v>83</v>
      </c>
      <c r="K28" s="42">
        <v>78</v>
      </c>
    </row>
    <row r="29" spans="1:11" s="103" customFormat="1" ht="15">
      <c r="A29" s="24"/>
      <c r="B29" s="25"/>
      <c r="C29" s="26">
        <f>C28/$B$28</f>
        <v>0.8217821782178217</v>
      </c>
      <c r="D29" s="27">
        <v>0.71</v>
      </c>
      <c r="E29" s="28">
        <v>0.66</v>
      </c>
      <c r="F29" s="26">
        <f>F28/$B$28</f>
        <v>0.04950495049504951</v>
      </c>
      <c r="G29" s="27">
        <v>0.11</v>
      </c>
      <c r="H29" s="28">
        <v>0.11</v>
      </c>
      <c r="I29" s="26">
        <f>I28/$B$28</f>
        <v>0.8712871287128713</v>
      </c>
      <c r="J29" s="27">
        <v>0.82</v>
      </c>
      <c r="K29" s="28">
        <v>0.77</v>
      </c>
    </row>
    <row r="30" spans="1:11" s="4" customFormat="1" ht="15.75" hidden="1">
      <c r="A30" s="45"/>
      <c r="B30" s="46"/>
      <c r="C30" s="104"/>
      <c r="D30" s="48"/>
      <c r="E30" s="49"/>
      <c r="F30" s="47"/>
      <c r="G30" s="48"/>
      <c r="H30" s="49"/>
      <c r="I30" s="47"/>
      <c r="J30" s="48"/>
      <c r="K30" s="49"/>
    </row>
    <row r="31" spans="1:11" s="44" customFormat="1" ht="18" customHeight="1">
      <c r="A31" s="38">
        <v>2002</v>
      </c>
      <c r="B31" s="39">
        <v>93</v>
      </c>
      <c r="C31" s="40">
        <v>74</v>
      </c>
      <c r="D31" s="41">
        <v>64</v>
      </c>
      <c r="E31" s="42">
        <v>59</v>
      </c>
      <c r="F31" s="40">
        <v>9</v>
      </c>
      <c r="G31" s="41">
        <v>12</v>
      </c>
      <c r="H31" s="42">
        <v>11</v>
      </c>
      <c r="I31" s="40">
        <v>83</v>
      </c>
      <c r="J31" s="41">
        <v>76</v>
      </c>
      <c r="K31" s="42">
        <f>H31+E31</f>
        <v>70</v>
      </c>
    </row>
    <row r="32" spans="1:11" s="103" customFormat="1" ht="15">
      <c r="A32" s="24"/>
      <c r="B32" s="25"/>
      <c r="C32" s="26">
        <v>0.8</v>
      </c>
      <c r="D32" s="27">
        <v>0.69</v>
      </c>
      <c r="E32" s="28">
        <f>E31/B31</f>
        <v>0.6344086021505376</v>
      </c>
      <c r="F32" s="26">
        <v>0.1</v>
      </c>
      <c r="G32" s="27">
        <v>0.13</v>
      </c>
      <c r="H32" s="28">
        <f>H31/B31</f>
        <v>0.11827956989247312</v>
      </c>
      <c r="I32" s="26">
        <v>0.89</v>
      </c>
      <c r="J32" s="27">
        <v>0.82</v>
      </c>
      <c r="K32" s="28">
        <f>K31/B31</f>
        <v>0.7526881720430108</v>
      </c>
    </row>
    <row r="33" spans="1:11" s="44" customFormat="1" ht="15">
      <c r="A33" s="38">
        <v>2003</v>
      </c>
      <c r="B33" s="39">
        <v>89</v>
      </c>
      <c r="C33" s="40">
        <v>55</v>
      </c>
      <c r="D33" s="41">
        <v>55</v>
      </c>
      <c r="E33" s="42">
        <f>50</f>
        <v>50</v>
      </c>
      <c r="F33" s="40">
        <v>5</v>
      </c>
      <c r="G33" s="41">
        <v>7</v>
      </c>
      <c r="H33" s="42">
        <v>8</v>
      </c>
      <c r="I33" s="40">
        <v>68</v>
      </c>
      <c r="J33" s="41">
        <f>G33+D33</f>
        <v>62</v>
      </c>
      <c r="K33" s="42">
        <f>H33+E33</f>
        <v>58</v>
      </c>
    </row>
    <row r="34" spans="1:11" s="62" customFormat="1" ht="15">
      <c r="A34" s="24"/>
      <c r="B34" s="25"/>
      <c r="C34" s="26">
        <v>0.71</v>
      </c>
      <c r="D34" s="27">
        <f>D33/B33</f>
        <v>0.6179775280898876</v>
      </c>
      <c r="E34" s="28">
        <f>E33/B33</f>
        <v>0.5617977528089888</v>
      </c>
      <c r="F34" s="26">
        <v>0.06</v>
      </c>
      <c r="G34" s="27">
        <f>G33/B33</f>
        <v>0.07865168539325842</v>
      </c>
      <c r="H34" s="28">
        <f>H33/B33</f>
        <v>0.0898876404494382</v>
      </c>
      <c r="I34" s="26">
        <v>0.76</v>
      </c>
      <c r="J34" s="27">
        <f>J33/B33</f>
        <v>0.6966292134831461</v>
      </c>
      <c r="K34" s="28">
        <f>K33/B33</f>
        <v>0.651685393258427</v>
      </c>
    </row>
    <row r="35" spans="1:11" s="60" customFormat="1" ht="15">
      <c r="A35" s="52">
        <v>2004</v>
      </c>
      <c r="B35" s="53">
        <f>19+58</f>
        <v>77</v>
      </c>
      <c r="C35" s="58">
        <v>50</v>
      </c>
      <c r="D35" s="57">
        <v>42</v>
      </c>
      <c r="E35" s="59">
        <v>38</v>
      </c>
      <c r="F35" s="58">
        <v>8</v>
      </c>
      <c r="G35" s="57">
        <f>2+7</f>
        <v>9</v>
      </c>
      <c r="H35" s="59">
        <v>9</v>
      </c>
      <c r="I35" s="54">
        <f>F35+C35</f>
        <v>58</v>
      </c>
      <c r="J35" s="55">
        <f>G35+D35</f>
        <v>51</v>
      </c>
      <c r="K35" s="56">
        <f>H35+E35</f>
        <v>47</v>
      </c>
    </row>
    <row r="36" spans="1:11" s="62" customFormat="1" ht="15">
      <c r="A36" s="24"/>
      <c r="B36" s="25"/>
      <c r="C36" s="26">
        <f>C35/B35</f>
        <v>0.6493506493506493</v>
      </c>
      <c r="D36" s="27">
        <f>D35/B35</f>
        <v>0.5454545454545454</v>
      </c>
      <c r="E36" s="28">
        <f>E35/B35</f>
        <v>0.4935064935064935</v>
      </c>
      <c r="F36" s="26">
        <f>F35/B35</f>
        <v>0.1038961038961039</v>
      </c>
      <c r="G36" s="27">
        <f>G35/B35</f>
        <v>0.11688311688311688</v>
      </c>
      <c r="H36" s="28">
        <f>H35/B35</f>
        <v>0.11688311688311688</v>
      </c>
      <c r="I36" s="26">
        <f>I35/B35</f>
        <v>0.7532467532467533</v>
      </c>
      <c r="J36" s="27">
        <f>J35/B35</f>
        <v>0.6623376623376623</v>
      </c>
      <c r="K36" s="28">
        <f>K35/B35</f>
        <v>0.6103896103896104</v>
      </c>
    </row>
    <row r="37" spans="1:11" s="62" customFormat="1" ht="15">
      <c r="A37" s="61">
        <v>2005</v>
      </c>
      <c r="B37" s="53">
        <v>69</v>
      </c>
      <c r="C37" s="58">
        <v>46</v>
      </c>
      <c r="D37" s="57">
        <v>38</v>
      </c>
      <c r="E37" s="59">
        <v>36</v>
      </c>
      <c r="F37" s="58">
        <v>9</v>
      </c>
      <c r="G37" s="57">
        <v>11</v>
      </c>
      <c r="H37" s="59">
        <v>9</v>
      </c>
      <c r="I37" s="54">
        <f>F37+C37</f>
        <v>55</v>
      </c>
      <c r="J37" s="57">
        <f>G37+D37</f>
        <v>49</v>
      </c>
      <c r="K37" s="59">
        <f>E37+H37</f>
        <v>45</v>
      </c>
    </row>
    <row r="38" spans="1:11" s="62" customFormat="1" ht="15">
      <c r="A38" s="24"/>
      <c r="B38" s="25"/>
      <c r="C38" s="26">
        <f>C37/B37</f>
        <v>0.6666666666666666</v>
      </c>
      <c r="D38" s="27">
        <f>D37/B37</f>
        <v>0.5507246376811594</v>
      </c>
      <c r="E38" s="28">
        <f>E37/B37</f>
        <v>0.5217391304347826</v>
      </c>
      <c r="F38" s="26">
        <f>F37/B37</f>
        <v>0.13043478260869565</v>
      </c>
      <c r="G38" s="27">
        <f>G37/B37</f>
        <v>0.15942028985507245</v>
      </c>
      <c r="H38" s="28">
        <f>H37/B37</f>
        <v>0.13043478260869565</v>
      </c>
      <c r="I38" s="26">
        <f>I37/B37</f>
        <v>0.7971014492753623</v>
      </c>
      <c r="J38" s="27">
        <f>J37/B37</f>
        <v>0.7101449275362319</v>
      </c>
      <c r="K38" s="28">
        <f>K37/B37</f>
        <v>0.6521739130434783</v>
      </c>
    </row>
    <row r="39" spans="1:11" s="62" customFormat="1" ht="15">
      <c r="A39" s="61">
        <v>2006</v>
      </c>
      <c r="B39" s="53">
        <v>109</v>
      </c>
      <c r="C39" s="58">
        <v>84</v>
      </c>
      <c r="D39" s="57">
        <v>69</v>
      </c>
      <c r="E39" s="59">
        <v>63</v>
      </c>
      <c r="F39" s="58">
        <v>14</v>
      </c>
      <c r="G39" s="57">
        <v>17</v>
      </c>
      <c r="H39" s="59">
        <v>16</v>
      </c>
      <c r="I39" s="58">
        <f>F39+C39</f>
        <v>98</v>
      </c>
      <c r="J39" s="57">
        <f>D39+G39</f>
        <v>86</v>
      </c>
      <c r="K39" s="59">
        <f>E39+H39</f>
        <v>79</v>
      </c>
    </row>
    <row r="40" spans="1:11" s="62" customFormat="1" ht="15">
      <c r="A40" s="63"/>
      <c r="B40" s="64"/>
      <c r="C40" s="84">
        <f>C39/B39</f>
        <v>0.7706422018348624</v>
      </c>
      <c r="D40" s="27">
        <f>D39/B39</f>
        <v>0.6330275229357798</v>
      </c>
      <c r="E40" s="27">
        <f>E39/B39</f>
        <v>0.5779816513761468</v>
      </c>
      <c r="F40" s="84">
        <f>F39/B39</f>
        <v>0.12844036697247707</v>
      </c>
      <c r="G40" s="27">
        <f>G39/B39</f>
        <v>0.1559633027522936</v>
      </c>
      <c r="H40" s="85">
        <f>H39/B39</f>
        <v>0.14678899082568808</v>
      </c>
      <c r="I40" s="84">
        <f>I39/B39</f>
        <v>0.8990825688073395</v>
      </c>
      <c r="J40" s="27">
        <f>J39/B39</f>
        <v>0.7889908256880734</v>
      </c>
      <c r="K40" s="85">
        <f>K39/B39</f>
        <v>0.7247706422018348</v>
      </c>
    </row>
    <row r="41" spans="1:11" s="44" customFormat="1" ht="18" customHeight="1">
      <c r="A41" s="93">
        <v>2007</v>
      </c>
      <c r="B41" s="94">
        <v>57</v>
      </c>
      <c r="C41" s="54">
        <v>49</v>
      </c>
      <c r="D41" s="95">
        <v>39</v>
      </c>
      <c r="E41" s="96">
        <v>38</v>
      </c>
      <c r="F41" s="54">
        <v>2</v>
      </c>
      <c r="G41" s="95">
        <v>6</v>
      </c>
      <c r="H41" s="96">
        <v>4</v>
      </c>
      <c r="I41" s="54">
        <f>F41+C41</f>
        <v>51</v>
      </c>
      <c r="J41" s="95">
        <f>G41+D41</f>
        <v>45</v>
      </c>
      <c r="K41" s="96">
        <f>H41+E41</f>
        <v>42</v>
      </c>
    </row>
    <row r="42" spans="1:11" s="44" customFormat="1" ht="18" customHeight="1">
      <c r="A42" s="97"/>
      <c r="B42" s="98"/>
      <c r="C42" s="34">
        <f>C41/B41</f>
        <v>0.8596491228070176</v>
      </c>
      <c r="D42" s="35">
        <f>D41/B41</f>
        <v>0.6842105263157895</v>
      </c>
      <c r="E42" s="36">
        <f>E41/B41</f>
        <v>0.6666666666666666</v>
      </c>
      <c r="F42" s="34">
        <f>F41/B41</f>
        <v>0.03508771929824561</v>
      </c>
      <c r="G42" s="27">
        <f>G41/B41</f>
        <v>0.10526315789473684</v>
      </c>
      <c r="H42" s="28">
        <f>H41/B41</f>
        <v>0.07017543859649122</v>
      </c>
      <c r="I42" s="34">
        <f>I41/B41</f>
        <v>0.8947368421052632</v>
      </c>
      <c r="J42" s="27">
        <f>J41/B41</f>
        <v>0.7894736842105263</v>
      </c>
      <c r="K42" s="28">
        <f>K41/B41</f>
        <v>0.7368421052631579</v>
      </c>
    </row>
    <row r="43" spans="1:11" s="44" customFormat="1" ht="18" customHeight="1">
      <c r="A43" s="93">
        <v>2008</v>
      </c>
      <c r="B43" s="94">
        <v>64</v>
      </c>
      <c r="C43" s="54">
        <v>48</v>
      </c>
      <c r="D43" s="95">
        <v>46</v>
      </c>
      <c r="E43" s="96">
        <v>44</v>
      </c>
      <c r="F43" s="54">
        <v>5</v>
      </c>
      <c r="G43" s="95">
        <v>6</v>
      </c>
      <c r="H43" s="96">
        <v>5</v>
      </c>
      <c r="I43" s="54">
        <f>F43+C43</f>
        <v>53</v>
      </c>
      <c r="J43" s="95">
        <f>G43+D43</f>
        <v>52</v>
      </c>
      <c r="K43" s="96">
        <f>H43+E43</f>
        <v>49</v>
      </c>
    </row>
    <row r="44" spans="1:11" s="44" customFormat="1" ht="18" customHeight="1">
      <c r="A44" s="97"/>
      <c r="B44" s="98"/>
      <c r="C44" s="34">
        <f>C43/B43</f>
        <v>0.75</v>
      </c>
      <c r="D44" s="27">
        <f>D43/B43</f>
        <v>0.71875</v>
      </c>
      <c r="E44" s="36">
        <f>E43/B43</f>
        <v>0.6875</v>
      </c>
      <c r="F44" s="34">
        <f>F43/B43</f>
        <v>0.078125</v>
      </c>
      <c r="G44" s="27">
        <f>G43/B43</f>
        <v>0.09375</v>
      </c>
      <c r="H44" s="28">
        <f>H43/B43</f>
        <v>0.078125</v>
      </c>
      <c r="I44" s="34">
        <f>I43/B43</f>
        <v>0.828125</v>
      </c>
      <c r="J44" s="27">
        <f>J43/B43</f>
        <v>0.8125</v>
      </c>
      <c r="K44" s="28">
        <f>K43/B43</f>
        <v>0.765625</v>
      </c>
    </row>
    <row r="45" spans="1:11" s="44" customFormat="1" ht="18" customHeight="1">
      <c r="A45" s="93">
        <v>2009</v>
      </c>
      <c r="B45" s="94">
        <v>41</v>
      </c>
      <c r="C45" s="54">
        <v>37</v>
      </c>
      <c r="D45" s="95">
        <v>31</v>
      </c>
      <c r="E45" s="96">
        <v>26</v>
      </c>
      <c r="F45" s="54">
        <v>1</v>
      </c>
      <c r="G45" s="95">
        <v>6</v>
      </c>
      <c r="H45" s="96">
        <v>7</v>
      </c>
      <c r="I45" s="54">
        <f>F45+C45</f>
        <v>38</v>
      </c>
      <c r="J45" s="95">
        <f>G45+D45</f>
        <v>37</v>
      </c>
      <c r="K45" s="96">
        <f>H45+E45</f>
        <v>33</v>
      </c>
    </row>
    <row r="46" spans="1:11" s="44" customFormat="1" ht="18" customHeight="1">
      <c r="A46" s="97"/>
      <c r="B46" s="98"/>
      <c r="C46" s="26">
        <f>C45/B45</f>
        <v>0.9024390243902439</v>
      </c>
      <c r="D46" s="27">
        <f>D45/B45</f>
        <v>0.7560975609756098</v>
      </c>
      <c r="E46" s="28">
        <f>E45/B45</f>
        <v>0.6341463414634146</v>
      </c>
      <c r="F46" s="26">
        <f>F45/B45</f>
        <v>0.024390243902439025</v>
      </c>
      <c r="G46" s="27">
        <f>G45/B45</f>
        <v>0.14634146341463414</v>
      </c>
      <c r="H46" s="28">
        <f>H45/B45</f>
        <v>0.17073170731707318</v>
      </c>
      <c r="I46" s="26">
        <f>I45/B45</f>
        <v>0.926829268292683</v>
      </c>
      <c r="J46" s="27">
        <f>J45/B45</f>
        <v>0.9024390243902439</v>
      </c>
      <c r="K46" s="28">
        <f>K45/B45</f>
        <v>0.8048780487804879</v>
      </c>
    </row>
    <row r="47" spans="1:11" s="44" customFormat="1" ht="18" customHeight="1">
      <c r="A47" s="93">
        <v>2010</v>
      </c>
      <c r="B47" s="94">
        <v>26</v>
      </c>
      <c r="C47" s="54">
        <v>21</v>
      </c>
      <c r="D47" s="95">
        <v>21</v>
      </c>
      <c r="E47" s="96">
        <v>20</v>
      </c>
      <c r="F47" s="54">
        <v>1</v>
      </c>
      <c r="G47" s="95">
        <v>0</v>
      </c>
      <c r="H47" s="96">
        <v>0</v>
      </c>
      <c r="I47" s="54">
        <f>F47+C47</f>
        <v>22</v>
      </c>
      <c r="J47" s="95">
        <f>G47+D47</f>
        <v>21</v>
      </c>
      <c r="K47" s="96">
        <f>H47+E47</f>
        <v>20</v>
      </c>
    </row>
    <row r="48" spans="1:11" s="44" customFormat="1" ht="18" customHeight="1">
      <c r="A48" s="97"/>
      <c r="B48" s="98"/>
      <c r="C48" s="26">
        <f>C47/B47</f>
        <v>0.8076923076923077</v>
      </c>
      <c r="D48" s="27">
        <f>D47/B47</f>
        <v>0.8076923076923077</v>
      </c>
      <c r="E48" s="28">
        <f>E47/B47</f>
        <v>0.7692307692307693</v>
      </c>
      <c r="F48" s="26">
        <f>F47/B47</f>
        <v>0.038461538461538464</v>
      </c>
      <c r="G48" s="27">
        <f>G47/B47</f>
        <v>0</v>
      </c>
      <c r="H48" s="28">
        <f>H47/B47</f>
        <v>0</v>
      </c>
      <c r="I48" s="26">
        <f>I47/B47</f>
        <v>0.8461538461538461</v>
      </c>
      <c r="J48" s="27">
        <f>J47/B47</f>
        <v>0.8076923076923077</v>
      </c>
      <c r="K48" s="28">
        <f>K47/B47</f>
        <v>0.7692307692307693</v>
      </c>
    </row>
    <row r="49" spans="1:11" s="44" customFormat="1" ht="18" customHeight="1">
      <c r="A49" s="93">
        <v>2011</v>
      </c>
      <c r="B49" s="94">
        <v>26</v>
      </c>
      <c r="C49" s="54">
        <v>20</v>
      </c>
      <c r="D49" s="95">
        <v>16</v>
      </c>
      <c r="E49" s="96">
        <v>14</v>
      </c>
      <c r="F49" s="54">
        <v>0</v>
      </c>
      <c r="G49" s="95">
        <v>1</v>
      </c>
      <c r="H49" s="96">
        <v>1</v>
      </c>
      <c r="I49" s="54">
        <f>F49+C49</f>
        <v>20</v>
      </c>
      <c r="J49" s="95">
        <f>G49+D49</f>
        <v>17</v>
      </c>
      <c r="K49" s="96">
        <f>H49+E49</f>
        <v>15</v>
      </c>
    </row>
    <row r="50" spans="1:11" s="44" customFormat="1" ht="18" customHeight="1">
      <c r="A50" s="97"/>
      <c r="B50" s="98"/>
      <c r="C50" s="26">
        <f>C49/B49</f>
        <v>0.7692307692307693</v>
      </c>
      <c r="D50" s="27">
        <f>D49/B49</f>
        <v>0.6153846153846154</v>
      </c>
      <c r="E50" s="28">
        <f>E49/B49</f>
        <v>0.5384615384615384</v>
      </c>
      <c r="F50" s="26">
        <f>F49/B49</f>
        <v>0</v>
      </c>
      <c r="G50" s="27">
        <f>G49/B49</f>
        <v>0.038461538461538464</v>
      </c>
      <c r="H50" s="28">
        <f>H49/B49</f>
        <v>0.038461538461538464</v>
      </c>
      <c r="I50" s="26">
        <f>I49/B49</f>
        <v>0.7692307692307693</v>
      </c>
      <c r="J50" s="27">
        <f>J49/B49</f>
        <v>0.6538461538461539</v>
      </c>
      <c r="K50" s="28">
        <f>K49/B49</f>
        <v>0.5769230769230769</v>
      </c>
    </row>
    <row r="51" spans="1:11" s="44" customFormat="1" ht="18" customHeight="1">
      <c r="A51" s="93">
        <v>2012</v>
      </c>
      <c r="B51" s="94">
        <v>42</v>
      </c>
      <c r="C51" s="54">
        <v>33</v>
      </c>
      <c r="D51" s="95">
        <v>30</v>
      </c>
      <c r="E51" s="96"/>
      <c r="F51" s="54">
        <v>3</v>
      </c>
      <c r="G51" s="95">
        <v>5</v>
      </c>
      <c r="H51" s="96"/>
      <c r="I51" s="54">
        <f>F51+C51</f>
        <v>36</v>
      </c>
      <c r="J51" s="95">
        <f>G51+D51</f>
        <v>35</v>
      </c>
      <c r="K51" s="96"/>
    </row>
    <row r="52" spans="1:11" s="44" customFormat="1" ht="18" customHeight="1">
      <c r="A52" s="97"/>
      <c r="B52" s="98"/>
      <c r="C52" s="26">
        <f>C51/B51</f>
        <v>0.7857142857142857</v>
      </c>
      <c r="D52" s="27">
        <f>D51/B51</f>
        <v>0.7142857142857143</v>
      </c>
      <c r="E52" s="28"/>
      <c r="F52" s="26">
        <f>F51/B51</f>
        <v>0.07142857142857142</v>
      </c>
      <c r="G52" s="27">
        <f>G51/B51</f>
        <v>0.11904761904761904</v>
      </c>
      <c r="H52" s="28"/>
      <c r="I52" s="26">
        <f>I51/B51</f>
        <v>0.8571428571428571</v>
      </c>
      <c r="J52" s="27">
        <f>J51/B51</f>
        <v>0.8333333333333334</v>
      </c>
      <c r="K52" s="28"/>
    </row>
    <row r="53" spans="1:11" s="44" customFormat="1" ht="18" customHeight="1">
      <c r="A53" s="93">
        <v>2013</v>
      </c>
      <c r="B53" s="94">
        <v>35</v>
      </c>
      <c r="C53" s="54">
        <v>32</v>
      </c>
      <c r="D53" s="95"/>
      <c r="E53" s="96"/>
      <c r="F53" s="54">
        <v>1</v>
      </c>
      <c r="G53" s="95"/>
      <c r="H53" s="96"/>
      <c r="I53" s="54">
        <f>F53+C53</f>
        <v>33</v>
      </c>
      <c r="J53" s="95"/>
      <c r="K53" s="96"/>
    </row>
    <row r="54" spans="1:11" s="44" customFormat="1" ht="18" customHeight="1" thickBot="1">
      <c r="A54" s="97"/>
      <c r="B54" s="98"/>
      <c r="C54" s="26">
        <f>C53/B53</f>
        <v>0.9142857142857143</v>
      </c>
      <c r="D54" s="27"/>
      <c r="E54" s="28"/>
      <c r="F54" s="26">
        <f>F53/B53</f>
        <v>0.02857142857142857</v>
      </c>
      <c r="G54" s="27"/>
      <c r="H54" s="28"/>
      <c r="I54" s="26">
        <f>I53/B53</f>
        <v>0.9428571428571428</v>
      </c>
      <c r="J54" s="27"/>
      <c r="K54" s="28"/>
    </row>
    <row r="55" spans="1:11" s="79" customFormat="1" ht="27" thickBot="1">
      <c r="A55" s="74" t="s">
        <v>12</v>
      </c>
      <c r="B55" s="75">
        <f>AVERAGE(B39:B53)</f>
        <v>50</v>
      </c>
      <c r="C55" s="76">
        <f>((C40*$B$39)+(C42*$B$41)+(C44*B43)+(C46*B45)+(C48*B47)+(C50*B49)+(C52*B51)+(C54*B53))/($B$39+$B$41+B43+B45+B47+B49+B51+B53)</f>
        <v>0.81</v>
      </c>
      <c r="D55" s="77">
        <f>((D40*$B$39)+(D42*B41)+(D44*B43)+(D46*B45)+(D48*B47)+(D50*B49)+(D52*B51))/($B$39+B41+B43+B45+B47+B49+B51)</f>
        <v>0.6904109589041096</v>
      </c>
      <c r="E55" s="78">
        <f>((E40*B39)+(E42*B41)+(E44*B43)+(E46*B45)+(E48*B47)+(E50*B49))/(B39+B41+B43+B45+B47+B49)</f>
        <v>0.6346749226006192</v>
      </c>
      <c r="F55" s="76">
        <f>((F40*$B$39)+(F42*$B$41)+(F44*B43)+(F46*B45)+(F48*B47)+(F50*B49)+(F52*B51)+(F54*B53))/($B$39+B41+B43+B45+B47+B49+B51+B53)</f>
        <v>0.0675</v>
      </c>
      <c r="G55" s="77">
        <f>((G40*$B$39)+(G42*B41)+(G44*B43)+(G46*B45)+(G48*B47)+(G50*B49)+(G52*B51))/($B$39+B41+B43+B45+B47+B49+B51)</f>
        <v>0.11232876712328767</v>
      </c>
      <c r="H55" s="78">
        <f>((H40*B39)+(H42*B41)+(H44*B43)+(H46*B45)+(H48*B47)+(H50*B49))/(B39+B41+B43+B45+B47)</f>
        <v>0.1111111111111111</v>
      </c>
      <c r="I55" s="76">
        <f>(I39+I41+I43+I45+I47+I49+I51+I53)/($B$39+$B$41+$B$43+$B$45+$B$47+$B$49+$B$51+$B$53)</f>
        <v>0.8775</v>
      </c>
      <c r="J55" s="77">
        <f>(J39+J41+J43+J45+J47+J49+J51)/($B$39+$B$41+$B$43+$B$45+$B$47+$B$49+$B$51)</f>
        <v>0.8027397260273973</v>
      </c>
      <c r="K55" s="78">
        <f>(K39+K41+K43+K45+K47+K49)/($B$39+$B$41+$B$43+$B$45+$B$47+$B$49)</f>
        <v>0.7368421052631579</v>
      </c>
    </row>
    <row r="56" ht="13.5" thickBot="1"/>
    <row r="57" spans="1:11" ht="27" thickBot="1">
      <c r="A57" s="74" t="s">
        <v>13</v>
      </c>
      <c r="B57" s="75">
        <f>AVERAGE(B47:B51)</f>
        <v>31.333333333333332</v>
      </c>
      <c r="C57" s="76">
        <f>(C47+C49+C51)/($B$47+$B$49+$B$51)</f>
        <v>0.7872340425531915</v>
      </c>
      <c r="D57" s="77">
        <f>(D45+D47+D49)/($B$45+$B$47+$B$49)</f>
        <v>0.7311827956989247</v>
      </c>
      <c r="E57" s="78">
        <f>(E43+E45+E47)/($B$43+$B$45+$B$47)</f>
        <v>0.6870229007633588</v>
      </c>
      <c r="F57" s="76">
        <f>(F47+F49+F51)/($B$47+$B$49+$B$51)</f>
        <v>0.0425531914893617</v>
      </c>
      <c r="G57" s="77">
        <f>(G45+G47+G49)/($B$45+$B$47+$B$49)</f>
        <v>0.07526881720430108</v>
      </c>
      <c r="H57" s="78">
        <f>(H43+H45+H47)/($B$43+$B$45+$B$47)</f>
        <v>0.0916030534351145</v>
      </c>
      <c r="I57" s="112">
        <f>(I47+I49+I51)/($B$47+$B$49+$B$51)</f>
        <v>0.8297872340425532</v>
      </c>
      <c r="J57" s="113">
        <f>(J45+J47+J49)/($B$45+$B$47+$B$49)</f>
        <v>0.8064516129032258</v>
      </c>
      <c r="K57" s="78">
        <f>(K43+K45+K47)/($B$43+$B$45+$B$47)</f>
        <v>0.7786259541984732</v>
      </c>
    </row>
    <row r="58" spans="9:10" ht="10.5" customHeight="1" thickBot="1">
      <c r="I58" s="114"/>
      <c r="J58" s="114"/>
    </row>
    <row r="59" spans="1:11" ht="27" thickBot="1">
      <c r="A59" s="74" t="s">
        <v>14</v>
      </c>
      <c r="B59" s="75">
        <f>AVERAGE(B49:B53)</f>
        <v>34.333333333333336</v>
      </c>
      <c r="C59" s="76">
        <f>(C49+C51+C53)/($B$49+$B$51+$B$53)</f>
        <v>0.8252427184466019</v>
      </c>
      <c r="D59" s="77">
        <f>(D47+D49+D51)/($B$47+$B$49+$B$51)</f>
        <v>0.7127659574468085</v>
      </c>
      <c r="E59" s="78">
        <f>(E45+E47+E49)/($B$45+$B$47+$B$49)</f>
        <v>0.6451612903225806</v>
      </c>
      <c r="F59" s="76">
        <f>(F49+F51+F53)/($B$49+$B$51+$B$53)</f>
        <v>0.038834951456310676</v>
      </c>
      <c r="G59" s="77">
        <f>(G47+G49+G51)/($B$47+$B$49+$B$51)</f>
        <v>0.06382978723404255</v>
      </c>
      <c r="H59" s="78">
        <f>(H45+H47+H49)/($B$45+$B$47+$B$49)</f>
        <v>0.08602150537634409</v>
      </c>
      <c r="I59" s="112">
        <f>(I49+I51+I53)/($B$49+$B$51+$B$53)</f>
        <v>0.8640776699029126</v>
      </c>
      <c r="J59" s="113">
        <f>(J47+J49+J51)/($B$47+$B$49+$B$51)</f>
        <v>0.776595744680851</v>
      </c>
      <c r="K59" s="78">
        <f>(K45+K47+K49)/($B$45+$B$47+$B$49)</f>
        <v>0.7311827956989247</v>
      </c>
    </row>
    <row r="60" spans="1:11" ht="12.75">
      <c r="A60" s="111" t="s">
        <v>15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</row>
  </sheetData>
  <sheetProtection/>
  <mergeCells count="5">
    <mergeCell ref="C2:E2"/>
    <mergeCell ref="F2:H2"/>
    <mergeCell ref="I2:K2"/>
    <mergeCell ref="A19:K19"/>
    <mergeCell ref="A60:K60"/>
  </mergeCells>
  <printOptions horizontalCentered="1"/>
  <pageMargins left="0.75" right="0.75" top="1.45" bottom="0.46" header="0.63" footer="0.25"/>
  <pageSetup fitToHeight="1" fitToWidth="1" orientation="landscape" scale="50" r:id="rId2"/>
  <headerFooter alignWithMargins="0">
    <oddHeader>&amp;L&amp;G&amp;C&amp;"Arial,Bold"&amp;14The Peter J. Tobin College of Business - Staten Island Campus
Retention Rates for Full-time Baccalaureate Degree-Seeking First-time Freshmen
Fall 1990 - Fall 2013</oddHeader>
    <oddFooter>&amp;L&amp;"Frutiger LT 55 Roman,Italic"&amp;8Prepared by: Office of Institutional Research (rg,sc)&amp;R&amp;"Frutiger LT 55 Roman,Italic"&amp;8Based on data as of 10/14/2014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SheetLayoutView="75" workbookViewId="0" topLeftCell="A50">
      <selection activeCell="I72" sqref="I72"/>
    </sheetView>
  </sheetViews>
  <sheetFormatPr defaultColWidth="9.140625" defaultRowHeight="12.75"/>
  <cols>
    <col min="1" max="1" width="14.57421875" style="1" customWidth="1"/>
    <col min="2" max="2" width="9.140625" style="1" customWidth="1"/>
    <col min="3" max="3" width="13.8515625" style="1" customWidth="1"/>
    <col min="4" max="4" width="13.421875" style="1" customWidth="1"/>
    <col min="5" max="5" width="12.8515625" style="1" customWidth="1"/>
    <col min="6" max="6" width="15.421875" style="1" bestFit="1" customWidth="1"/>
    <col min="7" max="7" width="9.140625" style="1" customWidth="1"/>
    <col min="8" max="8" width="10.00390625" style="1" customWidth="1"/>
    <col min="9" max="9" width="11.421875" style="1" bestFit="1" customWidth="1"/>
    <col min="10" max="16384" width="9.140625" style="1" customWidth="1"/>
  </cols>
  <sheetData>
    <row r="1" ht="13.5" thickBot="1"/>
    <row r="2" spans="1:11" s="4" customFormat="1" ht="15.75">
      <c r="A2" s="2"/>
      <c r="B2" s="3"/>
      <c r="C2" s="105" t="s">
        <v>0</v>
      </c>
      <c r="D2" s="106"/>
      <c r="E2" s="107"/>
      <c r="F2" s="106" t="s">
        <v>1</v>
      </c>
      <c r="G2" s="106"/>
      <c r="H2" s="107"/>
      <c r="I2" s="105" t="s">
        <v>2</v>
      </c>
      <c r="J2" s="106"/>
      <c r="K2" s="107"/>
    </row>
    <row r="3" spans="1:11" s="4" customFormat="1" ht="12.75">
      <c r="A3" s="5" t="s">
        <v>3</v>
      </c>
      <c r="B3" s="6" t="s">
        <v>4</v>
      </c>
      <c r="C3" s="5" t="s">
        <v>5</v>
      </c>
      <c r="D3" s="6" t="s">
        <v>5</v>
      </c>
      <c r="E3" s="7" t="s">
        <v>5</v>
      </c>
      <c r="F3" s="6" t="s">
        <v>5</v>
      </c>
      <c r="G3" s="6" t="s">
        <v>5</v>
      </c>
      <c r="H3" s="6" t="s">
        <v>5</v>
      </c>
      <c r="I3" s="5" t="s">
        <v>5</v>
      </c>
      <c r="J3" s="6" t="s">
        <v>5</v>
      </c>
      <c r="K3" s="7" t="s">
        <v>5</v>
      </c>
    </row>
    <row r="4" spans="1:11" s="4" customFormat="1" ht="12.75">
      <c r="A4" s="8" t="s">
        <v>6</v>
      </c>
      <c r="B4" s="9" t="s">
        <v>7</v>
      </c>
      <c r="C4" s="8" t="s">
        <v>8</v>
      </c>
      <c r="D4" s="9" t="s">
        <v>9</v>
      </c>
      <c r="E4" s="10" t="s">
        <v>10</v>
      </c>
      <c r="F4" s="9" t="s">
        <v>8</v>
      </c>
      <c r="G4" s="9" t="s">
        <v>9</v>
      </c>
      <c r="H4" s="9" t="s">
        <v>10</v>
      </c>
      <c r="I4" s="8" t="s">
        <v>8</v>
      </c>
      <c r="J4" s="9" t="s">
        <v>9</v>
      </c>
      <c r="K4" s="10" t="s">
        <v>10</v>
      </c>
    </row>
    <row r="5" spans="1:11" s="4" customFormat="1" ht="15">
      <c r="A5" s="11">
        <v>1990</v>
      </c>
      <c r="B5" s="12">
        <v>528</v>
      </c>
      <c r="C5" s="13">
        <v>364</v>
      </c>
      <c r="D5" s="12">
        <v>296</v>
      </c>
      <c r="E5" s="14">
        <v>278</v>
      </c>
      <c r="F5" s="12">
        <v>54</v>
      </c>
      <c r="G5" s="12">
        <v>77</v>
      </c>
      <c r="H5" s="12">
        <v>78</v>
      </c>
      <c r="I5" s="13">
        <f>SUM(C5,F5)</f>
        <v>418</v>
      </c>
      <c r="J5" s="12">
        <f>SUM(D5,G5)</f>
        <v>373</v>
      </c>
      <c r="K5" s="14">
        <f>SUM(E5,H5)</f>
        <v>356</v>
      </c>
    </row>
    <row r="6" spans="1:11" s="4" customFormat="1" ht="15">
      <c r="A6" s="15"/>
      <c r="B6" s="16"/>
      <c r="C6" s="17">
        <f aca="true" t="shared" si="0" ref="C6:K6">C5/$B$5</f>
        <v>0.6893939393939394</v>
      </c>
      <c r="D6" s="18">
        <f t="shared" si="0"/>
        <v>0.5606060606060606</v>
      </c>
      <c r="E6" s="19">
        <f t="shared" si="0"/>
        <v>0.5265151515151515</v>
      </c>
      <c r="F6" s="18">
        <f t="shared" si="0"/>
        <v>0.10227272727272728</v>
      </c>
      <c r="G6" s="18">
        <f t="shared" si="0"/>
        <v>0.14583333333333334</v>
      </c>
      <c r="H6" s="18">
        <f t="shared" si="0"/>
        <v>0.14772727272727273</v>
      </c>
      <c r="I6" s="17">
        <f t="shared" si="0"/>
        <v>0.7916666666666666</v>
      </c>
      <c r="J6" s="18">
        <f t="shared" si="0"/>
        <v>0.7064393939393939</v>
      </c>
      <c r="K6" s="19">
        <f t="shared" si="0"/>
        <v>0.6742424242424242</v>
      </c>
    </row>
    <row r="7" spans="1:11" s="4" customFormat="1" ht="15">
      <c r="A7" s="11">
        <v>1991</v>
      </c>
      <c r="B7" s="12">
        <v>471</v>
      </c>
      <c r="C7" s="13">
        <v>330</v>
      </c>
      <c r="D7" s="12">
        <v>279</v>
      </c>
      <c r="E7" s="14">
        <v>256</v>
      </c>
      <c r="F7" s="12">
        <v>49</v>
      </c>
      <c r="G7" s="12">
        <v>60</v>
      </c>
      <c r="H7" s="12">
        <v>66</v>
      </c>
      <c r="I7" s="13">
        <f>SUM(C7,F7)</f>
        <v>379</v>
      </c>
      <c r="J7" s="12">
        <f>SUM(D7,H7)</f>
        <v>345</v>
      </c>
      <c r="K7" s="14">
        <f>SUM(E7,H7)</f>
        <v>322</v>
      </c>
    </row>
    <row r="8" spans="1:11" s="4" customFormat="1" ht="15">
      <c r="A8" s="15"/>
      <c r="B8" s="16"/>
      <c r="C8" s="17">
        <f aca="true" t="shared" si="1" ref="C8:K8">C7/$B$7</f>
        <v>0.7006369426751592</v>
      </c>
      <c r="D8" s="18">
        <f t="shared" si="1"/>
        <v>0.5923566878980892</v>
      </c>
      <c r="E8" s="19">
        <f t="shared" si="1"/>
        <v>0.5435244161358811</v>
      </c>
      <c r="F8" s="18">
        <f t="shared" si="1"/>
        <v>0.1040339702760085</v>
      </c>
      <c r="G8" s="18">
        <f t="shared" si="1"/>
        <v>0.12738853503184713</v>
      </c>
      <c r="H8" s="18">
        <f t="shared" si="1"/>
        <v>0.14012738853503184</v>
      </c>
      <c r="I8" s="17">
        <f t="shared" si="1"/>
        <v>0.8046709129511678</v>
      </c>
      <c r="J8" s="18">
        <f t="shared" si="1"/>
        <v>0.732484076433121</v>
      </c>
      <c r="K8" s="19">
        <f t="shared" si="1"/>
        <v>0.6836518046709129</v>
      </c>
    </row>
    <row r="9" spans="1:11" ht="15">
      <c r="A9" s="20">
        <v>1992</v>
      </c>
      <c r="B9" s="21">
        <v>345</v>
      </c>
      <c r="C9" s="22">
        <v>253</v>
      </c>
      <c r="D9" s="21">
        <v>204</v>
      </c>
      <c r="E9" s="23">
        <v>193</v>
      </c>
      <c r="F9" s="21">
        <v>29</v>
      </c>
      <c r="G9" s="21">
        <v>53</v>
      </c>
      <c r="H9" s="21">
        <v>53</v>
      </c>
      <c r="I9" s="22">
        <f>SUM(C9,F9)</f>
        <v>282</v>
      </c>
      <c r="J9" s="21">
        <f>SUM(D9,G9)</f>
        <v>257</v>
      </c>
      <c r="K9" s="23">
        <f>SUM(E9,H9)</f>
        <v>246</v>
      </c>
    </row>
    <row r="10" spans="1:11" ht="15">
      <c r="A10" s="24"/>
      <c r="B10" s="25"/>
      <c r="C10" s="26">
        <f aca="true" t="shared" si="2" ref="C10:K10">C9/$B$9</f>
        <v>0.7333333333333333</v>
      </c>
      <c r="D10" s="27">
        <f t="shared" si="2"/>
        <v>0.591304347826087</v>
      </c>
      <c r="E10" s="28">
        <f t="shared" si="2"/>
        <v>0.5594202898550724</v>
      </c>
      <c r="F10" s="27">
        <f t="shared" si="2"/>
        <v>0.08405797101449275</v>
      </c>
      <c r="G10" s="27">
        <f t="shared" si="2"/>
        <v>0.1536231884057971</v>
      </c>
      <c r="H10" s="27">
        <f t="shared" si="2"/>
        <v>0.1536231884057971</v>
      </c>
      <c r="I10" s="26">
        <f t="shared" si="2"/>
        <v>0.8173913043478261</v>
      </c>
      <c r="J10" s="27">
        <f t="shared" si="2"/>
        <v>0.744927536231884</v>
      </c>
      <c r="K10" s="28">
        <f t="shared" si="2"/>
        <v>0.7130434782608696</v>
      </c>
    </row>
    <row r="11" spans="1:11" ht="15">
      <c r="A11" s="11">
        <v>1993</v>
      </c>
      <c r="B11" s="12">
        <v>283</v>
      </c>
      <c r="C11" s="13">
        <v>214</v>
      </c>
      <c r="D11" s="12">
        <v>192</v>
      </c>
      <c r="E11" s="14">
        <v>168</v>
      </c>
      <c r="F11" s="12">
        <v>23</v>
      </c>
      <c r="G11" s="12">
        <v>30</v>
      </c>
      <c r="H11" s="12">
        <v>37</v>
      </c>
      <c r="I11" s="13">
        <f>SUM(C11,F11)</f>
        <v>237</v>
      </c>
      <c r="J11" s="12">
        <f>SUM(D11,G11)</f>
        <v>222</v>
      </c>
      <c r="K11" s="14">
        <f>SUM(E11,H11)</f>
        <v>205</v>
      </c>
    </row>
    <row r="12" spans="1:11" ht="15">
      <c r="A12" s="15"/>
      <c r="B12" s="16"/>
      <c r="C12" s="17">
        <f aca="true" t="shared" si="3" ref="C12:K12">(C11/$B$11)</f>
        <v>0.7561837455830389</v>
      </c>
      <c r="D12" s="18">
        <f t="shared" si="3"/>
        <v>0.6784452296819788</v>
      </c>
      <c r="E12" s="19">
        <f t="shared" si="3"/>
        <v>0.5936395759717314</v>
      </c>
      <c r="F12" s="18">
        <f t="shared" si="3"/>
        <v>0.0812720848056537</v>
      </c>
      <c r="G12" s="18">
        <f t="shared" si="3"/>
        <v>0.10600706713780919</v>
      </c>
      <c r="H12" s="18">
        <f t="shared" si="3"/>
        <v>0.13074204946996468</v>
      </c>
      <c r="I12" s="17">
        <f t="shared" si="3"/>
        <v>0.8374558303886925</v>
      </c>
      <c r="J12" s="18">
        <f t="shared" si="3"/>
        <v>0.784452296819788</v>
      </c>
      <c r="K12" s="19">
        <f t="shared" si="3"/>
        <v>0.7243816254416962</v>
      </c>
    </row>
    <row r="13" spans="1:11" s="4" customFormat="1" ht="15">
      <c r="A13" s="11">
        <v>1994</v>
      </c>
      <c r="B13" s="12">
        <v>325</v>
      </c>
      <c r="C13" s="13">
        <v>250</v>
      </c>
      <c r="D13" s="12">
        <v>205</v>
      </c>
      <c r="E13" s="14">
        <v>189</v>
      </c>
      <c r="F13" s="12">
        <v>23</v>
      </c>
      <c r="G13" s="12">
        <v>38</v>
      </c>
      <c r="H13" s="12">
        <v>38</v>
      </c>
      <c r="I13" s="13">
        <f>SUM(C13,F13)</f>
        <v>273</v>
      </c>
      <c r="J13" s="12">
        <f>SUM(D13,G13)</f>
        <v>243</v>
      </c>
      <c r="K13" s="14">
        <f>SUM(E13,H13)</f>
        <v>227</v>
      </c>
    </row>
    <row r="14" spans="1:11" s="4" customFormat="1" ht="15">
      <c r="A14" s="15"/>
      <c r="B14" s="16"/>
      <c r="C14" s="17">
        <f aca="true" t="shared" si="4" ref="C14:I14">C13/$B$13</f>
        <v>0.7692307692307693</v>
      </c>
      <c r="D14" s="18">
        <f t="shared" si="4"/>
        <v>0.6307692307692307</v>
      </c>
      <c r="E14" s="19">
        <f t="shared" si="4"/>
        <v>0.5815384615384616</v>
      </c>
      <c r="F14" s="18">
        <f t="shared" si="4"/>
        <v>0.07076923076923076</v>
      </c>
      <c r="G14" s="18">
        <f t="shared" si="4"/>
        <v>0.11692307692307692</v>
      </c>
      <c r="H14" s="18">
        <f t="shared" si="4"/>
        <v>0.11692307692307692</v>
      </c>
      <c r="I14" s="17">
        <f t="shared" si="4"/>
        <v>0.84</v>
      </c>
      <c r="J14" s="29">
        <v>0.73</v>
      </c>
      <c r="K14" s="19">
        <f>K13/$B$13</f>
        <v>0.6984615384615385</v>
      </c>
    </row>
    <row r="15" spans="1:11" ht="15">
      <c r="A15" s="20">
        <v>1995</v>
      </c>
      <c r="B15" s="21">
        <v>304</v>
      </c>
      <c r="C15" s="22">
        <v>231</v>
      </c>
      <c r="D15" s="21">
        <v>193</v>
      </c>
      <c r="E15" s="23">
        <v>183</v>
      </c>
      <c r="F15" s="21">
        <v>20</v>
      </c>
      <c r="G15" s="21">
        <v>28</v>
      </c>
      <c r="H15" s="21">
        <v>32</v>
      </c>
      <c r="I15" s="13">
        <f>SUM(C15,F15)</f>
        <v>251</v>
      </c>
      <c r="J15" s="12">
        <f>SUM(D15,G15)</f>
        <v>221</v>
      </c>
      <c r="K15" s="14">
        <f>SUM(E15,H15)</f>
        <v>215</v>
      </c>
    </row>
    <row r="16" spans="1:13" ht="15">
      <c r="A16" s="30"/>
      <c r="B16" s="31"/>
      <c r="C16" s="27">
        <f aca="true" t="shared" si="5" ref="C16:K16">C15/$B$15</f>
        <v>0.7598684210526315</v>
      </c>
      <c r="D16" s="27">
        <f t="shared" si="5"/>
        <v>0.6348684210526315</v>
      </c>
      <c r="E16" s="28">
        <f t="shared" si="5"/>
        <v>0.6019736842105263</v>
      </c>
      <c r="F16" s="27">
        <f t="shared" si="5"/>
        <v>0.06578947368421052</v>
      </c>
      <c r="G16" s="27">
        <f t="shared" si="5"/>
        <v>0.09210526315789473</v>
      </c>
      <c r="H16" s="28">
        <f t="shared" si="5"/>
        <v>0.10526315789473684</v>
      </c>
      <c r="I16" s="27">
        <f t="shared" si="5"/>
        <v>0.8256578947368421</v>
      </c>
      <c r="J16" s="27">
        <f t="shared" si="5"/>
        <v>0.7269736842105263</v>
      </c>
      <c r="K16" s="28">
        <f t="shared" si="5"/>
        <v>0.7072368421052632</v>
      </c>
      <c r="L16" s="32"/>
      <c r="M16" s="33"/>
    </row>
    <row r="17" spans="1:11" ht="15">
      <c r="A17" s="20">
        <v>1996</v>
      </c>
      <c r="B17" s="21">
        <v>309</v>
      </c>
      <c r="C17" s="22">
        <v>236</v>
      </c>
      <c r="D17" s="21">
        <v>203</v>
      </c>
      <c r="E17" s="23">
        <v>191</v>
      </c>
      <c r="F17" s="21">
        <v>18</v>
      </c>
      <c r="G17" s="21">
        <v>29</v>
      </c>
      <c r="H17" s="21">
        <v>31</v>
      </c>
      <c r="I17" s="22">
        <f>SUM(C17,F17)</f>
        <v>254</v>
      </c>
      <c r="J17" s="21">
        <f>SUM(D17,G17)</f>
        <v>232</v>
      </c>
      <c r="K17" s="23">
        <f>SUM(E17,H17)</f>
        <v>222</v>
      </c>
    </row>
    <row r="18" spans="1:11" ht="18" customHeight="1">
      <c r="A18" s="24"/>
      <c r="B18" s="25"/>
      <c r="C18" s="26">
        <f aca="true" t="shared" si="6" ref="C18:K18">(C17/$B$17)</f>
        <v>0.7637540453074434</v>
      </c>
      <c r="D18" s="27">
        <f t="shared" si="6"/>
        <v>0.656957928802589</v>
      </c>
      <c r="E18" s="28">
        <f t="shared" si="6"/>
        <v>0.6181229773462783</v>
      </c>
      <c r="F18" s="27">
        <f t="shared" si="6"/>
        <v>0.05825242718446602</v>
      </c>
      <c r="G18" s="27">
        <f t="shared" si="6"/>
        <v>0.09385113268608414</v>
      </c>
      <c r="H18" s="27">
        <f t="shared" si="6"/>
        <v>0.10032362459546926</v>
      </c>
      <c r="I18" s="26">
        <f t="shared" si="6"/>
        <v>0.8220064724919094</v>
      </c>
      <c r="J18" s="27">
        <f t="shared" si="6"/>
        <v>0.7508090614886731</v>
      </c>
      <c r="K18" s="28">
        <f t="shared" si="6"/>
        <v>0.7184466019417476</v>
      </c>
    </row>
    <row r="19" spans="1:11" ht="18" customHeight="1">
      <c r="A19" s="108" t="s">
        <v>11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ht="15">
      <c r="A20" s="20">
        <v>1997</v>
      </c>
      <c r="B20" s="21">
        <v>368</v>
      </c>
      <c r="C20" s="22">
        <v>299</v>
      </c>
      <c r="D20" s="21">
        <v>251</v>
      </c>
      <c r="E20" s="23">
        <v>229</v>
      </c>
      <c r="F20" s="21">
        <v>26</v>
      </c>
      <c r="G20" s="21">
        <v>46</v>
      </c>
      <c r="H20" s="21">
        <v>52</v>
      </c>
      <c r="I20" s="22">
        <f>SUM(C20,F20)</f>
        <v>325</v>
      </c>
      <c r="J20" s="21">
        <f>SUM(D20,G20)</f>
        <v>297</v>
      </c>
      <c r="K20" s="23">
        <f>SUM(E20,H20)</f>
        <v>281</v>
      </c>
    </row>
    <row r="21" spans="1:12" ht="18" customHeight="1">
      <c r="A21" s="24"/>
      <c r="B21" s="25"/>
      <c r="C21" s="34">
        <f>(C20/$B$20)</f>
        <v>0.8125</v>
      </c>
      <c r="D21" s="35">
        <f aca="true" t="shared" si="7" ref="D21:K21">(D20/$B$20)</f>
        <v>0.6820652173913043</v>
      </c>
      <c r="E21" s="36">
        <f t="shared" si="7"/>
        <v>0.6222826086956522</v>
      </c>
      <c r="F21" s="35">
        <f>(F20/$B$20)</f>
        <v>0.07065217391304347</v>
      </c>
      <c r="G21" s="35">
        <f t="shared" si="7"/>
        <v>0.125</v>
      </c>
      <c r="H21" s="35">
        <f t="shared" si="7"/>
        <v>0.14130434782608695</v>
      </c>
      <c r="I21" s="34">
        <f>(I20/$B$20)</f>
        <v>0.8831521739130435</v>
      </c>
      <c r="J21" s="35">
        <f t="shared" si="7"/>
        <v>0.8070652173913043</v>
      </c>
      <c r="K21" s="36">
        <f t="shared" si="7"/>
        <v>0.7635869565217391</v>
      </c>
      <c r="L21" s="37"/>
    </row>
    <row r="22" spans="1:11" ht="15">
      <c r="A22" s="20">
        <v>1998</v>
      </c>
      <c r="B22" s="21">
        <v>410</v>
      </c>
      <c r="C22" s="22">
        <v>311</v>
      </c>
      <c r="D22" s="21">
        <v>271</v>
      </c>
      <c r="E22" s="23">
        <v>256</v>
      </c>
      <c r="F22" s="21">
        <v>31</v>
      </c>
      <c r="G22" s="21">
        <v>50</v>
      </c>
      <c r="H22" s="21">
        <v>51</v>
      </c>
      <c r="I22" s="22">
        <f>SUM(C22,F22)</f>
        <v>342</v>
      </c>
      <c r="J22" s="21">
        <f>SUM(D22,G22)</f>
        <v>321</v>
      </c>
      <c r="K22" s="23">
        <f>SUM(E22,H22)</f>
        <v>307</v>
      </c>
    </row>
    <row r="23" spans="1:11" ht="15">
      <c r="A23" s="24"/>
      <c r="B23" s="25"/>
      <c r="C23" s="34">
        <f>(C22/$B$22)</f>
        <v>0.7585365853658537</v>
      </c>
      <c r="D23" s="35">
        <f aca="true" t="shared" si="8" ref="D23:J23">(D22/$B$22)</f>
        <v>0.6609756097560976</v>
      </c>
      <c r="E23" s="36">
        <f t="shared" si="8"/>
        <v>0.624390243902439</v>
      </c>
      <c r="F23" s="35">
        <f>(F22/$B$22)</f>
        <v>0.07560975609756097</v>
      </c>
      <c r="G23" s="35">
        <f t="shared" si="8"/>
        <v>0.12195121951219512</v>
      </c>
      <c r="H23" s="35">
        <f t="shared" si="8"/>
        <v>0.12439024390243902</v>
      </c>
      <c r="I23" s="34">
        <f>(I22/$B$22)</f>
        <v>0.8341463414634146</v>
      </c>
      <c r="J23" s="35">
        <f t="shared" si="8"/>
        <v>0.7829268292682927</v>
      </c>
      <c r="K23" s="36">
        <f>(K22/$B$20)</f>
        <v>0.8342391304347826</v>
      </c>
    </row>
    <row r="24" spans="1:11" ht="15">
      <c r="A24" s="20">
        <v>1999</v>
      </c>
      <c r="B24" s="21">
        <v>394</v>
      </c>
      <c r="C24" s="22">
        <v>296</v>
      </c>
      <c r="D24" s="21">
        <v>249</v>
      </c>
      <c r="E24" s="23">
        <v>221</v>
      </c>
      <c r="F24" s="21">
        <v>24</v>
      </c>
      <c r="G24" s="21">
        <v>39</v>
      </c>
      <c r="H24" s="21">
        <v>42</v>
      </c>
      <c r="I24" s="22">
        <f>SUM(C24,F24)</f>
        <v>320</v>
      </c>
      <c r="J24" s="21">
        <f>SUM(D24,G24)</f>
        <v>288</v>
      </c>
      <c r="K24" s="23">
        <f>SUM(E24,H24)</f>
        <v>263</v>
      </c>
    </row>
    <row r="25" spans="1:11" ht="15">
      <c r="A25" s="24"/>
      <c r="B25" s="25"/>
      <c r="C25" s="34">
        <f>(C24/$B$24)</f>
        <v>0.751269035532995</v>
      </c>
      <c r="D25" s="35">
        <f>(D24/$B$24)</f>
        <v>0.631979695431472</v>
      </c>
      <c r="E25" s="36">
        <f>E24/$B$24</f>
        <v>0.5609137055837563</v>
      </c>
      <c r="F25" s="35">
        <f>(F24/$B$24)</f>
        <v>0.06091370558375635</v>
      </c>
      <c r="G25" s="35">
        <f>(G24/$B$24)</f>
        <v>0.09898477157360407</v>
      </c>
      <c r="H25" s="35">
        <f>H24/$B$24</f>
        <v>0.1065989847715736</v>
      </c>
      <c r="I25" s="34">
        <f>(I24/$B$24)</f>
        <v>0.8121827411167513</v>
      </c>
      <c r="J25" s="35">
        <f>(J24/$B$24)</f>
        <v>0.7309644670050761</v>
      </c>
      <c r="K25" s="36">
        <f>K24/$B$24</f>
        <v>0.6675126903553299</v>
      </c>
    </row>
    <row r="26" spans="1:11" s="43" customFormat="1" ht="15">
      <c r="A26" s="38">
        <v>2000</v>
      </c>
      <c r="B26" s="39">
        <v>441</v>
      </c>
      <c r="C26" s="40">
        <v>337</v>
      </c>
      <c r="D26" s="41">
        <v>290</v>
      </c>
      <c r="E26" s="42">
        <v>258</v>
      </c>
      <c r="F26" s="41">
        <v>21</v>
      </c>
      <c r="G26" s="41">
        <v>38</v>
      </c>
      <c r="H26" s="42">
        <v>45</v>
      </c>
      <c r="I26" s="40">
        <f>SUM(C26,F26)</f>
        <v>358</v>
      </c>
      <c r="J26" s="41">
        <f>SUM(D26,G26)</f>
        <v>328</v>
      </c>
      <c r="K26" s="42">
        <f>SUM(E26,H26)</f>
        <v>303</v>
      </c>
    </row>
    <row r="27" spans="1:11" ht="15">
      <c r="A27" s="24"/>
      <c r="B27" s="25"/>
      <c r="C27" s="34">
        <f>(C26/$B$26)</f>
        <v>0.764172335600907</v>
      </c>
      <c r="D27" s="35">
        <f>D26/$B$26</f>
        <v>0.6575963718820862</v>
      </c>
      <c r="E27" s="36">
        <f>E26/$B$26</f>
        <v>0.5850340136054422</v>
      </c>
      <c r="F27" s="35">
        <f>(F26/$B$26)</f>
        <v>0.047619047619047616</v>
      </c>
      <c r="G27" s="35">
        <f>G26/$B$26</f>
        <v>0.08616780045351474</v>
      </c>
      <c r="H27" s="36">
        <f>H26/$B$26</f>
        <v>0.10204081632653061</v>
      </c>
      <c r="I27" s="34">
        <f>(I26/$B$26)</f>
        <v>0.8117913832199547</v>
      </c>
      <c r="J27" s="35">
        <f>J26/$B$26</f>
        <v>0.7437641723356009</v>
      </c>
      <c r="K27" s="36">
        <f>K26/$B$26</f>
        <v>0.6870748299319728</v>
      </c>
    </row>
    <row r="28" spans="1:11" s="44" customFormat="1" ht="15">
      <c r="A28" s="38">
        <v>2001</v>
      </c>
      <c r="B28" s="39">
        <v>404</v>
      </c>
      <c r="C28" s="40">
        <v>295</v>
      </c>
      <c r="D28" s="41">
        <v>244</v>
      </c>
      <c r="E28" s="42">
        <v>235</v>
      </c>
      <c r="F28" s="41">
        <v>34</v>
      </c>
      <c r="G28" s="41">
        <v>49</v>
      </c>
      <c r="H28" s="41">
        <v>48</v>
      </c>
      <c r="I28" s="40">
        <f>SUM(C28,F28)</f>
        <v>329</v>
      </c>
      <c r="J28" s="41">
        <v>293</v>
      </c>
      <c r="K28" s="42">
        <v>283</v>
      </c>
    </row>
    <row r="29" spans="1:11" ht="15">
      <c r="A29" s="24"/>
      <c r="B29" s="25"/>
      <c r="C29" s="34">
        <f>C28/$B$28</f>
        <v>0.7301980198019802</v>
      </c>
      <c r="D29" s="35">
        <v>0.6</v>
      </c>
      <c r="E29" s="36">
        <v>0.58</v>
      </c>
      <c r="F29" s="35">
        <f>F28/$B$28</f>
        <v>0.08415841584158416</v>
      </c>
      <c r="G29" s="35">
        <f>G28/$B$28</f>
        <v>0.12128712871287128</v>
      </c>
      <c r="H29" s="35">
        <v>0.12</v>
      </c>
      <c r="I29" s="34">
        <f>I28/$B$28</f>
        <v>0.8143564356435643</v>
      </c>
      <c r="J29" s="35">
        <f>J28/$B$28</f>
        <v>0.7252475247524752</v>
      </c>
      <c r="K29" s="36">
        <v>0.7</v>
      </c>
    </row>
    <row r="30" spans="1:11" s="4" customFormat="1" ht="18" customHeight="1" hidden="1">
      <c r="A30" s="45"/>
      <c r="B30" s="46"/>
      <c r="C30" s="47"/>
      <c r="D30" s="48"/>
      <c r="E30" s="49"/>
      <c r="F30" s="48"/>
      <c r="G30" s="48"/>
      <c r="H30" s="48"/>
      <c r="I30" s="47"/>
      <c r="J30" s="48"/>
      <c r="K30" s="49"/>
    </row>
    <row r="31" spans="1:11" s="44" customFormat="1" ht="15">
      <c r="A31" s="38">
        <v>2002</v>
      </c>
      <c r="B31" s="39">
        <v>426</v>
      </c>
      <c r="C31" s="40">
        <v>321</v>
      </c>
      <c r="D31" s="41">
        <v>267</v>
      </c>
      <c r="E31" s="42">
        <f>182+1+58</f>
        <v>241</v>
      </c>
      <c r="F31" s="41">
        <v>30</v>
      </c>
      <c r="G31" s="41">
        <v>48</v>
      </c>
      <c r="H31" s="41">
        <f>12+19+2+4+1+7+3</f>
        <v>48</v>
      </c>
      <c r="I31" s="40">
        <f>SUM(C31,F31)</f>
        <v>351</v>
      </c>
      <c r="J31" s="41">
        <v>315</v>
      </c>
      <c r="K31" s="42">
        <f>12+19+2+4+182+58+3+7+1+1</f>
        <v>289</v>
      </c>
    </row>
    <row r="32" spans="1:11" s="50" customFormat="1" ht="15">
      <c r="A32" s="24"/>
      <c r="B32" s="25"/>
      <c r="C32" s="34">
        <f>C31/B31</f>
        <v>0.7535211267605634</v>
      </c>
      <c r="D32" s="35">
        <v>0.63</v>
      </c>
      <c r="E32" s="36">
        <f>E31/B31</f>
        <v>0.5657276995305164</v>
      </c>
      <c r="F32" s="35">
        <f>F31/$B$31</f>
        <v>0.07042253521126761</v>
      </c>
      <c r="G32" s="35">
        <v>0.11</v>
      </c>
      <c r="H32" s="35">
        <f>H31/B31</f>
        <v>0.11267605633802817</v>
      </c>
      <c r="I32" s="34">
        <f>I31/$B$31</f>
        <v>0.823943661971831</v>
      </c>
      <c r="J32" s="35">
        <v>0.74</v>
      </c>
      <c r="K32" s="36">
        <f>K31/B31</f>
        <v>0.6784037558685446</v>
      </c>
    </row>
    <row r="33" spans="1:11" s="44" customFormat="1" ht="15">
      <c r="A33" s="38">
        <v>2003</v>
      </c>
      <c r="B33" s="39">
        <v>454</v>
      </c>
      <c r="C33" s="40">
        <v>329</v>
      </c>
      <c r="D33" s="41">
        <f>1+53+212+2</f>
        <v>268</v>
      </c>
      <c r="E33" s="51">
        <f>194+2+1+48</f>
        <v>245</v>
      </c>
      <c r="F33" s="41">
        <v>26</v>
      </c>
      <c r="G33" s="41">
        <f>13+24+5+5+2</f>
        <v>49</v>
      </c>
      <c r="H33" s="41">
        <f>11+27+5+6+2</f>
        <v>51</v>
      </c>
      <c r="I33" s="40">
        <v>355</v>
      </c>
      <c r="J33" s="41">
        <f>13+24+5+212+1+2+5+2+53</f>
        <v>317</v>
      </c>
      <c r="K33" s="42">
        <f>H33+E33</f>
        <v>296</v>
      </c>
    </row>
    <row r="34" spans="1:11" ht="15">
      <c r="A34" s="24"/>
      <c r="B34" s="25"/>
      <c r="C34" s="34">
        <f>C33/B33</f>
        <v>0.724669603524229</v>
      </c>
      <c r="D34" s="35">
        <f>D33/B33</f>
        <v>0.5903083700440529</v>
      </c>
      <c r="E34" s="36">
        <f>E33/B33</f>
        <v>0.539647577092511</v>
      </c>
      <c r="F34" s="35">
        <f>F33/B33</f>
        <v>0.05726872246696035</v>
      </c>
      <c r="G34" s="35">
        <f>G33/B33</f>
        <v>0.10792951541850221</v>
      </c>
      <c r="H34" s="35">
        <f>H33/B33</f>
        <v>0.11233480176211454</v>
      </c>
      <c r="I34" s="34">
        <f>I33/B33</f>
        <v>0.7819383259911894</v>
      </c>
      <c r="J34" s="35">
        <f>J33/B33</f>
        <v>0.698237885462555</v>
      </c>
      <c r="K34" s="36">
        <f>K33/B33</f>
        <v>0.6519823788546255</v>
      </c>
    </row>
    <row r="35" spans="1:11" s="60" customFormat="1" ht="15">
      <c r="A35" s="52">
        <v>2004</v>
      </c>
      <c r="B35" s="53">
        <f>77+330</f>
        <v>407</v>
      </c>
      <c r="C35" s="54">
        <f>50+225+3</f>
        <v>278</v>
      </c>
      <c r="D35" s="55">
        <f>192+4+42</f>
        <v>238</v>
      </c>
      <c r="E35" s="56">
        <f>'[1]04(14)'!E35+'[1]64 '!E35</f>
        <v>218</v>
      </c>
      <c r="F35" s="57">
        <v>23</v>
      </c>
      <c r="G35" s="57">
        <f>6+11+1+3+2+7</f>
        <v>30</v>
      </c>
      <c r="H35" s="57">
        <f>'[1]04(14)'!H35+'[1]64 '!K35</f>
        <v>75</v>
      </c>
      <c r="I35" s="58">
        <f>F35+C35</f>
        <v>301</v>
      </c>
      <c r="J35" s="57">
        <f>G35+D35</f>
        <v>268</v>
      </c>
      <c r="K35" s="59">
        <f>H35+E35</f>
        <v>293</v>
      </c>
    </row>
    <row r="36" spans="1:11" ht="15">
      <c r="A36" s="24"/>
      <c r="B36" s="25"/>
      <c r="C36" s="34">
        <f>(50+225+3)/B35</f>
        <v>0.683046683046683</v>
      </c>
      <c r="D36" s="35">
        <f>D35/B35</f>
        <v>0.5847665847665847</v>
      </c>
      <c r="E36" s="36">
        <f>E35/B35</f>
        <v>0.5356265356265356</v>
      </c>
      <c r="F36" s="35">
        <f>F35/B35</f>
        <v>0.056511056511056514</v>
      </c>
      <c r="G36" s="35">
        <f>G35/B35</f>
        <v>0.07371007371007371</v>
      </c>
      <c r="H36" s="35">
        <f>H35/B35</f>
        <v>0.18427518427518427</v>
      </c>
      <c r="I36" s="34">
        <f>I35/B35</f>
        <v>0.7395577395577395</v>
      </c>
      <c r="J36" s="35">
        <f>J35/B35</f>
        <v>0.6584766584766585</v>
      </c>
      <c r="K36" s="36">
        <f>K35/B35</f>
        <v>0.7199017199017199</v>
      </c>
    </row>
    <row r="37" spans="1:11" s="62" customFormat="1" ht="15">
      <c r="A37" s="61">
        <v>2005</v>
      </c>
      <c r="B37" s="53">
        <f>419+69</f>
        <v>488</v>
      </c>
      <c r="C37" s="58">
        <f>'[1]04(14)'!C37+'[1]64 '!C37</f>
        <v>367</v>
      </c>
      <c r="D37" s="57">
        <f>'[1]04(14)'!D37+'[1]64 '!D37</f>
        <v>283</v>
      </c>
      <c r="E37" s="59">
        <f>'[1]04(14)'!E37+'[1]64 '!E37</f>
        <v>262</v>
      </c>
      <c r="F37" s="57">
        <f>'[1]04(14)'!F37+'[1]64 '!F37</f>
        <v>28</v>
      </c>
      <c r="G37" s="57">
        <f>'[1]04(14)'!G37+'[1]64 '!G37</f>
        <v>43</v>
      </c>
      <c r="H37" s="57">
        <f>'[1]04(14)'!H37+'[1]64 '!H37</f>
        <v>39</v>
      </c>
      <c r="I37" s="54">
        <f>F37+C37</f>
        <v>395</v>
      </c>
      <c r="J37" s="57">
        <f>G37+D37</f>
        <v>326</v>
      </c>
      <c r="K37" s="59">
        <f>H37+E37</f>
        <v>301</v>
      </c>
    </row>
    <row r="38" spans="1:11" ht="18" customHeight="1">
      <c r="A38" s="24"/>
      <c r="B38" s="25"/>
      <c r="C38" s="34">
        <f>C37/B37</f>
        <v>0.7520491803278688</v>
      </c>
      <c r="D38" s="35">
        <f>D37/B37</f>
        <v>0.5799180327868853</v>
      </c>
      <c r="E38" s="36">
        <f>E37/B37</f>
        <v>0.5368852459016393</v>
      </c>
      <c r="F38" s="35">
        <f>F37/B37</f>
        <v>0.05737704918032787</v>
      </c>
      <c r="G38" s="35">
        <f>G37/B37</f>
        <v>0.08811475409836066</v>
      </c>
      <c r="H38" s="35">
        <f>H37/B37</f>
        <v>0.07991803278688525</v>
      </c>
      <c r="I38" s="34">
        <f>I37/B37</f>
        <v>0.8094262295081968</v>
      </c>
      <c r="J38" s="35">
        <f>J37/B37</f>
        <v>0.6680327868852459</v>
      </c>
      <c r="K38" s="36">
        <f>K37/B37</f>
        <v>0.6168032786885246</v>
      </c>
    </row>
    <row r="39" spans="1:11" s="62" customFormat="1" ht="15">
      <c r="A39" s="61">
        <v>2006</v>
      </c>
      <c r="B39" s="53">
        <f>'[1]04(14)'!B39+'[1]64 '!B39</f>
        <v>621</v>
      </c>
      <c r="C39" s="54">
        <f>'[1]04(14)'!C39+'[1]64 '!C39</f>
        <v>478</v>
      </c>
      <c r="D39" s="55">
        <f>'[1]04(14)'!D39+'[1]64 '!D39</f>
        <v>387</v>
      </c>
      <c r="E39" s="59">
        <f>'[1]04(14)'!E39+'[1]64 '!E39</f>
        <v>352</v>
      </c>
      <c r="F39" s="57">
        <f>'[1]04(14)'!F39+'[1]64 '!F39</f>
        <v>38</v>
      </c>
      <c r="G39" s="57">
        <f>'[1]04(14)'!G39+'[1]64 '!G39</f>
        <v>59</v>
      </c>
      <c r="H39" s="57">
        <f>'[1]04(14)'!H39+'[1]64 '!H39</f>
        <v>67</v>
      </c>
      <c r="I39" s="58">
        <f>F39+C39</f>
        <v>516</v>
      </c>
      <c r="J39" s="57">
        <f>G39+D39</f>
        <v>446</v>
      </c>
      <c r="K39" s="59">
        <f>H39+E39</f>
        <v>419</v>
      </c>
    </row>
    <row r="40" spans="1:11" ht="18" customHeight="1">
      <c r="A40" s="63"/>
      <c r="B40" s="64"/>
      <c r="C40" s="65">
        <f>C39/B39</f>
        <v>0.7697262479871175</v>
      </c>
      <c r="D40" s="27">
        <f>D39/B39</f>
        <v>0.6231884057971014</v>
      </c>
      <c r="E40" s="66">
        <f>E39/B39</f>
        <v>0.5668276972624798</v>
      </c>
      <c r="F40" s="67">
        <f>F39/B39</f>
        <v>0.061191626409017714</v>
      </c>
      <c r="G40" s="35">
        <f>G39/B39</f>
        <v>0.09500805152979067</v>
      </c>
      <c r="H40" s="67">
        <f>H39/B39</f>
        <v>0.10789049919484701</v>
      </c>
      <c r="I40" s="65">
        <f>I39/B39</f>
        <v>0.8309178743961353</v>
      </c>
      <c r="J40" s="35">
        <f>J39/B39</f>
        <v>0.7181964573268921</v>
      </c>
      <c r="K40" s="66">
        <f>K39/B39</f>
        <v>0.6747181964573269</v>
      </c>
    </row>
    <row r="41" spans="1:11" s="62" customFormat="1" ht="15">
      <c r="A41" s="68">
        <v>2007</v>
      </c>
      <c r="B41" s="69">
        <f>'[1]04(14)'!B41+'[1]64 '!B41</f>
        <v>483</v>
      </c>
      <c r="C41" s="54">
        <f>'[1]04(14)'!C41+'[1]64 '!C41</f>
        <v>341</v>
      </c>
      <c r="D41" s="55">
        <f>'[1]04(14)'!D41+'[1]64 '!D41</f>
        <v>277</v>
      </c>
      <c r="E41" s="56">
        <f>'[1]04(14)'!E41+'[1]64 '!E41</f>
        <v>267</v>
      </c>
      <c r="F41" s="54">
        <f>'[1]04(14)'!F41+'[1]64 '!F41</f>
        <v>27</v>
      </c>
      <c r="G41" s="55">
        <f>'[1]04(14)'!G41+'[1]64 '!G41</f>
        <v>44</v>
      </c>
      <c r="H41" s="55">
        <f>'[1]04(14)'!H41+'[1]64 '!H41</f>
        <v>37</v>
      </c>
      <c r="I41" s="54">
        <f>F41+C41</f>
        <v>368</v>
      </c>
      <c r="J41" s="57">
        <f>G41+D41</f>
        <v>321</v>
      </c>
      <c r="K41" s="56">
        <f>H41+E41</f>
        <v>304</v>
      </c>
    </row>
    <row r="42" spans="1:11" ht="18" customHeight="1">
      <c r="A42" s="63"/>
      <c r="B42" s="64"/>
      <c r="C42" s="65">
        <f>C41/B41</f>
        <v>0.7060041407867494</v>
      </c>
      <c r="D42" s="70">
        <f>D41/B41</f>
        <v>0.5734989648033126</v>
      </c>
      <c r="E42" s="66">
        <f>E41/B41</f>
        <v>0.5527950310559007</v>
      </c>
      <c r="F42" s="67">
        <f>F41/B41</f>
        <v>0.055900621118012424</v>
      </c>
      <c r="G42" s="67">
        <f>G41/B41</f>
        <v>0.09109730848861283</v>
      </c>
      <c r="H42" s="67">
        <f>H41/B41</f>
        <v>0.07660455486542443</v>
      </c>
      <c r="I42" s="65">
        <f>I41/B41</f>
        <v>0.7619047619047619</v>
      </c>
      <c r="J42" s="67">
        <f>J41/B41</f>
        <v>0.6645962732919255</v>
      </c>
      <c r="K42" s="66">
        <f>K41/B41</f>
        <v>0.629399585921325</v>
      </c>
    </row>
    <row r="43" spans="1:11" ht="18" customHeight="1">
      <c r="A43" s="68">
        <v>2008</v>
      </c>
      <c r="B43" s="69">
        <f>'[1]04(14)'!B43+'[1]64 '!B43</f>
        <v>508</v>
      </c>
      <c r="C43" s="54">
        <f>'[1]04(14)'!C43+'[1]64 '!C43</f>
        <v>370</v>
      </c>
      <c r="D43" s="55">
        <f>'[1]04(14)'!D43+'[1]64 '!D43</f>
        <v>299</v>
      </c>
      <c r="E43" s="56">
        <f>'[1]04(14)'!E43+'[1]64 '!E43</f>
        <v>275</v>
      </c>
      <c r="F43" s="54">
        <f>'[1]04(14)'!F43+'[1]64 '!F43</f>
        <v>28</v>
      </c>
      <c r="G43" s="55">
        <f>'[1]04(14)'!G43+'[1]64 '!G43</f>
        <v>50</v>
      </c>
      <c r="H43" s="55">
        <f>'[1]04(14)'!H43+'[1]64 '!H43</f>
        <v>50</v>
      </c>
      <c r="I43" s="54">
        <f>F43+C43</f>
        <v>398</v>
      </c>
      <c r="J43" s="55">
        <f>G43+D43</f>
        <v>349</v>
      </c>
      <c r="K43" s="56">
        <f>H43+E43</f>
        <v>325</v>
      </c>
    </row>
    <row r="44" spans="1:11" ht="18" customHeight="1">
      <c r="A44" s="24"/>
      <c r="B44" s="25"/>
      <c r="C44" s="34">
        <f>C43/B43</f>
        <v>0.7283464566929134</v>
      </c>
      <c r="D44" s="27">
        <f>D43/B43</f>
        <v>0.5885826771653543</v>
      </c>
      <c r="E44" s="36">
        <f>E43/B43</f>
        <v>0.5413385826771654</v>
      </c>
      <c r="F44" s="35">
        <f>F43/B43</f>
        <v>0.05511811023622047</v>
      </c>
      <c r="G44" s="35">
        <f>G43/B43</f>
        <v>0.0984251968503937</v>
      </c>
      <c r="H44" s="35">
        <f>H43/B43</f>
        <v>0.0984251968503937</v>
      </c>
      <c r="I44" s="34">
        <f>I43/B43</f>
        <v>0.7834645669291339</v>
      </c>
      <c r="J44" s="35">
        <f>J43/B43</f>
        <v>0.687007874015748</v>
      </c>
      <c r="K44" s="66">
        <f>K43/B43</f>
        <v>0.639763779527559</v>
      </c>
    </row>
    <row r="45" spans="1:11" ht="18" customHeight="1">
      <c r="A45" s="68">
        <v>2009</v>
      </c>
      <c r="B45" s="69">
        <f>'[1]04(14)'!B45+'[1]64 '!B45</f>
        <v>381</v>
      </c>
      <c r="C45" s="54">
        <f>'[1]04(14)'!C45+'[1]64 '!C45</f>
        <v>281</v>
      </c>
      <c r="D45" s="55">
        <f>'[1]04(14)'!D45+'[1]64 '!D45</f>
        <v>233</v>
      </c>
      <c r="E45" s="56">
        <f>'[1]04(14)'!E45+'[1]64 '!E45</f>
        <v>214</v>
      </c>
      <c r="F45" s="55">
        <f>'[1]04(14)'!F45+'[1]64 '!F45</f>
        <v>24</v>
      </c>
      <c r="G45" s="55">
        <f>'[1]04(14)'!G45+'[1]64 '!G45</f>
        <v>41</v>
      </c>
      <c r="H45" s="55">
        <f>'[1]04(14)'!H45+'[1]64 '!H45</f>
        <v>37</v>
      </c>
      <c r="I45" s="54">
        <f>F45+C45</f>
        <v>305</v>
      </c>
      <c r="J45" s="57">
        <f>G45+D45</f>
        <v>274</v>
      </c>
      <c r="K45" s="56">
        <f>H45+E45</f>
        <v>251</v>
      </c>
    </row>
    <row r="46" spans="1:11" ht="18" customHeight="1">
      <c r="A46" s="24"/>
      <c r="B46" s="25"/>
      <c r="C46" s="34">
        <f>C45/B45</f>
        <v>0.7375328083989501</v>
      </c>
      <c r="D46" s="27">
        <f>D45/B45</f>
        <v>0.6115485564304461</v>
      </c>
      <c r="E46" s="36">
        <f>E45/B45</f>
        <v>0.5616797900262467</v>
      </c>
      <c r="F46" s="35">
        <f>F45/B45</f>
        <v>0.06299212598425197</v>
      </c>
      <c r="G46" s="35">
        <f>G45/B45</f>
        <v>0.10761154855643044</v>
      </c>
      <c r="H46" s="35">
        <f>H45/B45</f>
        <v>0.09711286089238845</v>
      </c>
      <c r="I46" s="34">
        <f>I45/B45</f>
        <v>0.800524934383202</v>
      </c>
      <c r="J46" s="35">
        <f>J45/B45</f>
        <v>0.7191601049868767</v>
      </c>
      <c r="K46" s="66">
        <f>K45/B45</f>
        <v>0.6587926509186351</v>
      </c>
    </row>
    <row r="47" spans="1:11" ht="18" customHeight="1">
      <c r="A47" s="68">
        <v>2010</v>
      </c>
      <c r="B47" s="69">
        <f>'[1]04(14)'!B47+'[1]64 '!B47</f>
        <v>329</v>
      </c>
      <c r="C47" s="54">
        <f>'[1]04(14)'!C47+'[1]64 '!C47</f>
        <v>249</v>
      </c>
      <c r="D47" s="55">
        <f>'[1]04(14)'!D47+'[1]64 '!D47</f>
        <v>213</v>
      </c>
      <c r="E47" s="56">
        <f>'[1]04(14)'!E47+'[1]64 '!E47</f>
        <v>198</v>
      </c>
      <c r="F47" s="55">
        <f>'[1]04(14)'!F47+'[1]64 '!F47</f>
        <v>24</v>
      </c>
      <c r="G47" s="55">
        <f>'[1]04(14)'!G47+'[1]64 '!G47</f>
        <v>25</v>
      </c>
      <c r="H47" s="55">
        <f>'[1]04(14)'!H47+'[1]64 '!H47</f>
        <v>24</v>
      </c>
      <c r="I47" s="54">
        <f>F47+C47</f>
        <v>273</v>
      </c>
      <c r="J47" s="57">
        <f>G47+D47</f>
        <v>238</v>
      </c>
      <c r="K47" s="56">
        <f>H47+E47</f>
        <v>222</v>
      </c>
    </row>
    <row r="48" spans="1:11" ht="18" customHeight="1">
      <c r="A48" s="24"/>
      <c r="B48" s="25"/>
      <c r="C48" s="34">
        <f>C47/B47</f>
        <v>0.756838905775076</v>
      </c>
      <c r="D48" s="27">
        <f>D47/B47</f>
        <v>0.6474164133738601</v>
      </c>
      <c r="E48" s="36">
        <f>E47/B47</f>
        <v>0.601823708206687</v>
      </c>
      <c r="F48" s="35">
        <f>F47/B47</f>
        <v>0.0729483282674772</v>
      </c>
      <c r="G48" s="35">
        <f>G47/B47</f>
        <v>0.07598784194528875</v>
      </c>
      <c r="H48" s="35">
        <f>H47/B47</f>
        <v>0.0729483282674772</v>
      </c>
      <c r="I48" s="34">
        <f>I47/B47</f>
        <v>0.8297872340425532</v>
      </c>
      <c r="J48" s="35">
        <f>J47/B47</f>
        <v>0.723404255319149</v>
      </c>
      <c r="K48" s="66">
        <f>K47/B47</f>
        <v>0.6747720364741642</v>
      </c>
    </row>
    <row r="49" spans="1:11" ht="18" customHeight="1">
      <c r="A49" s="68">
        <v>2011</v>
      </c>
      <c r="B49" s="69">
        <f>'[1]04(14)'!B49+'[1]64 '!B49</f>
        <v>320</v>
      </c>
      <c r="C49" s="54">
        <f>'[1]04(14)'!C49+'[1]64 '!C49</f>
        <v>234</v>
      </c>
      <c r="D49" s="55">
        <f>'[1]04(14)'!D49+'[1]64 '!D49</f>
        <v>195</v>
      </c>
      <c r="E49" s="56">
        <f>'[1]04(14)'!E49+'[1]64 '!E49</f>
        <v>181</v>
      </c>
      <c r="F49" s="55">
        <f>'[1]04(14)'!F49+'[1]64 '!F49</f>
        <v>8</v>
      </c>
      <c r="G49" s="55">
        <f>'[1]04(14)'!G49+'[1]64 '!G49</f>
        <v>17</v>
      </c>
      <c r="H49" s="55">
        <f>'[1]04(14)'!H49+'[1]64 '!H49</f>
        <v>16</v>
      </c>
      <c r="I49" s="54">
        <f>F49+C49</f>
        <v>242</v>
      </c>
      <c r="J49" s="57">
        <f>G49+D49</f>
        <v>212</v>
      </c>
      <c r="K49" s="56">
        <f>H49+E49</f>
        <v>197</v>
      </c>
    </row>
    <row r="50" spans="1:11" ht="18" customHeight="1">
      <c r="A50" s="24"/>
      <c r="B50" s="25"/>
      <c r="C50" s="34">
        <f>C49/B49</f>
        <v>0.73125</v>
      </c>
      <c r="D50" s="27">
        <f>D49/B49</f>
        <v>0.609375</v>
      </c>
      <c r="E50" s="36">
        <f>E49/B49</f>
        <v>0.565625</v>
      </c>
      <c r="F50" s="35">
        <f>F49/B49</f>
        <v>0.025</v>
      </c>
      <c r="G50" s="35">
        <f>G49/B49</f>
        <v>0.053125</v>
      </c>
      <c r="H50" s="35">
        <f>H49/B49</f>
        <v>0.05</v>
      </c>
      <c r="I50" s="34">
        <f>I49/B49</f>
        <v>0.75625</v>
      </c>
      <c r="J50" s="35">
        <f>J49/B49</f>
        <v>0.6625</v>
      </c>
      <c r="K50" s="66">
        <f>K49/B49</f>
        <v>0.615625</v>
      </c>
    </row>
    <row r="51" spans="1:11" ht="18" customHeight="1">
      <c r="A51" s="68">
        <v>2012</v>
      </c>
      <c r="B51" s="69">
        <f>'[1]04(14)'!B51+'[1]64 '!B51</f>
        <v>418</v>
      </c>
      <c r="C51" s="54">
        <f>'[1]04(14)'!C51+'[1]64 '!C51</f>
        <v>313</v>
      </c>
      <c r="D51" s="55">
        <f>'[1]04(14)'!D51+'[1]64 '!D51</f>
        <v>269</v>
      </c>
      <c r="E51" s="56"/>
      <c r="F51" s="55">
        <f>'[1]04(14)'!F51+'[1]64 '!F51</f>
        <v>22</v>
      </c>
      <c r="G51" s="55">
        <f>'[1]04(14)'!G51+'[1]64 '!G51</f>
        <v>36</v>
      </c>
      <c r="H51" s="55"/>
      <c r="I51" s="54">
        <f>F51+C51</f>
        <v>335</v>
      </c>
      <c r="J51" s="57">
        <f>G51+D51</f>
        <v>305</v>
      </c>
      <c r="K51" s="56"/>
    </row>
    <row r="52" spans="1:11" ht="18" customHeight="1">
      <c r="A52" s="24"/>
      <c r="B52" s="25"/>
      <c r="C52" s="34">
        <f>C51/B51</f>
        <v>0.7488038277511961</v>
      </c>
      <c r="D52" s="27">
        <f>D51/B51</f>
        <v>0.6435406698564593</v>
      </c>
      <c r="E52" s="36"/>
      <c r="F52" s="35">
        <f>F51/B51</f>
        <v>0.05263157894736842</v>
      </c>
      <c r="G52" s="35">
        <f>G51/B51</f>
        <v>0.0861244019138756</v>
      </c>
      <c r="H52" s="35"/>
      <c r="I52" s="34">
        <f>I51/B51</f>
        <v>0.8014354066985646</v>
      </c>
      <c r="J52" s="35">
        <f>J51/B51</f>
        <v>0.7296650717703349</v>
      </c>
      <c r="K52" s="66"/>
    </row>
    <row r="53" spans="1:11" ht="18" customHeight="1">
      <c r="A53" s="68">
        <v>2013</v>
      </c>
      <c r="B53" s="69">
        <f>'[1]04(14)'!B53+'[1]64 '!B53</f>
        <v>401</v>
      </c>
      <c r="C53" s="54">
        <f>'[1]04(14)'!C53+'[1]64 '!C53</f>
        <v>300</v>
      </c>
      <c r="D53" s="55"/>
      <c r="E53" s="56"/>
      <c r="F53" s="55">
        <f>'[1]04(14)'!F53+'[1]64 '!F53</f>
        <v>19</v>
      </c>
      <c r="G53" s="55"/>
      <c r="H53" s="55"/>
      <c r="I53" s="54">
        <f>F53+C53</f>
        <v>319</v>
      </c>
      <c r="J53" s="57"/>
      <c r="K53" s="56"/>
    </row>
    <row r="54" spans="1:11" ht="18" customHeight="1" thickBot="1">
      <c r="A54" s="24"/>
      <c r="B54" s="25"/>
      <c r="C54" s="71">
        <f>C53/B53</f>
        <v>0.7481296758104738</v>
      </c>
      <c r="D54" s="72"/>
      <c r="E54" s="73"/>
      <c r="F54" s="35">
        <f>F53/B53</f>
        <v>0.04738154613466334</v>
      </c>
      <c r="G54" s="35"/>
      <c r="H54" s="35"/>
      <c r="I54" s="34">
        <f>I53/B53</f>
        <v>0.7955112219451371</v>
      </c>
      <c r="J54" s="35"/>
      <c r="K54" s="66"/>
    </row>
    <row r="55" spans="1:11" s="79" customFormat="1" ht="27" thickBot="1">
      <c r="A55" s="74" t="s">
        <v>12</v>
      </c>
      <c r="B55" s="75">
        <f>AVERAGE(B39:B53)</f>
        <v>432.625</v>
      </c>
      <c r="C55" s="76">
        <f>((C40*$B$39)+(C42*$B$41)+(C44*B43)+(C46*B45)+(C48*B47)+(C50*B49)+(C52*B51)+(C54*B53))/($B$39+$B$41+B43+B45+B47+B49+B51+B53)</f>
        <v>0.7414042184339786</v>
      </c>
      <c r="D55" s="77">
        <f>((D40*$B$39)+(D42*B41)+(D44*B43)+(D46*B45)+(D48*B47)+(D50*B49)+(D52*B51))/($B$39+B41+B43+B45+B47+B49+B51)</f>
        <v>0.6120915032679739</v>
      </c>
      <c r="E55" s="78">
        <f>((E40*B39)+(E42*B41)+(E44*B43)+(E46*B45)+(E48*B47)+(E50*B49))/(B39+B41+B43+B45+B47+B49)</f>
        <v>0.5628311884935655</v>
      </c>
      <c r="F55" s="76">
        <f>((F40*$B$39)+(F42*$B$41)+(F44*B43)+(F46*B45)+(F48*B47)+(F50*B49)+(F52*B51)+(F54*B53))/($B$39+B41+B43+B45+B47+B49+B51+B53)</f>
        <v>0.05489742848887605</v>
      </c>
      <c r="G55" s="77">
        <f>((G40*$B$39)+(G42*B41)+(G44*B43)+(G46*B45)+(G48*B47)+(G50*B49)+(G52*B51))/($B$39+B41+B43+B45+B47+B49+B51)</f>
        <v>0.08888888888888889</v>
      </c>
      <c r="H55" s="78">
        <f>((H40*B39)+(H42*B41)+(H44*B43)+(H46*B45)+(H48*B47)+(H50*B49))/(B39+B41+B43+B45+B47+B49)</f>
        <v>0.08743376230128691</v>
      </c>
      <c r="I55" s="76">
        <f>(I39+I41+I43+I45+I47+I49+I51+I53)/($B$39+$B$41+$B$43+$B$45+$B$47+$B$49+$B$51+$B$53)</f>
        <v>0.7963016469228547</v>
      </c>
      <c r="J55" s="77">
        <f>(J39+J41+J43+J45+J47+J49+J51)/($B$39+$B$41+$B$43+$B$45+$B$47+$B$49+$B$51)</f>
        <v>0.7009803921568627</v>
      </c>
      <c r="K55" s="78">
        <f>(K39+K41+K43+K45+K47+K49)/($B$39+$B$41+$B$43+$B$45+$B$47+$B$49)</f>
        <v>0.6502649507948524</v>
      </c>
    </row>
    <row r="56" ht="13.5" thickBot="1"/>
    <row r="57" spans="1:11" ht="27" thickBot="1">
      <c r="A57" s="74" t="s">
        <v>13</v>
      </c>
      <c r="B57" s="75">
        <f>AVERAGE(B47:B51)</f>
        <v>355.6666666666667</v>
      </c>
      <c r="C57" s="76">
        <f>(C47+C49+C51)/($B$47+$B$49+$B$51)</f>
        <v>0.7460168697282099</v>
      </c>
      <c r="D57" s="77">
        <f>(D45+D47+D49)/($B$45+$B$47+$B$49)</f>
        <v>0.6223300970873786</v>
      </c>
      <c r="E57" s="78">
        <f>(E43+E45+E47)/($B$43+$B$45+$B$47)</f>
        <v>0.5640394088669951</v>
      </c>
      <c r="F57" s="76">
        <f>(F47+F49+F51)/($B$47+$B$49+$B$51)</f>
        <v>0.05060918462980318</v>
      </c>
      <c r="G57" s="77">
        <f>(G45+G47+G49)/($B$45+$B$47+$B$49)</f>
        <v>0.08058252427184466</v>
      </c>
      <c r="H57" s="78">
        <f>(H43+H45+H47)/($B$43+$B$45+$B$47)</f>
        <v>0.09113300492610837</v>
      </c>
      <c r="I57" s="112">
        <f>(I47+I49+I51)/($B$47+$B$49+$B$51)</f>
        <v>0.7966260543580131</v>
      </c>
      <c r="J57" s="113">
        <f>(J45+J47+J49)/($B$45+$B$47+$B$49)</f>
        <v>0.7029126213592233</v>
      </c>
      <c r="K57" s="78">
        <f>(K43+K45+K47)/($B$43+$B$45+$B$47)</f>
        <v>0.6551724137931034</v>
      </c>
    </row>
    <row r="58" spans="9:10" ht="10.5" customHeight="1" thickBot="1">
      <c r="I58" s="114"/>
      <c r="J58" s="114"/>
    </row>
    <row r="59" spans="1:11" ht="27" thickBot="1">
      <c r="A59" s="74" t="s">
        <v>14</v>
      </c>
      <c r="B59" s="75">
        <f>AVERAGE(B49:B53)</f>
        <v>379.6666666666667</v>
      </c>
      <c r="C59" s="76">
        <f>(C49+C51+C53)/($B$49+$B$51+$B$53)</f>
        <v>0.7436347673397717</v>
      </c>
      <c r="D59" s="77">
        <f>(D47+D49+D51)/($B$47+$B$49+$B$51)</f>
        <v>0.6344892221180881</v>
      </c>
      <c r="E59" s="78">
        <f>(E45+E47+E49)/($B$45+$B$47+$B$49)</f>
        <v>0.5757281553398058</v>
      </c>
      <c r="F59" s="76">
        <f>(F49+F51+F53)/($B$49+$B$51+$B$53)</f>
        <v>0.04302019315188762</v>
      </c>
      <c r="G59" s="77">
        <f>(G47+G49+G51)/($B$47+$B$49+$B$51)</f>
        <v>0.07310215557638237</v>
      </c>
      <c r="H59" s="78">
        <f>(H45+H47+H49)/($B$45+$B$47+$B$49)</f>
        <v>0.07475728155339806</v>
      </c>
      <c r="I59" s="112">
        <f>(I49+I51+I53)/($B$49+$B$51+$B$53)</f>
        <v>0.7866549604916594</v>
      </c>
      <c r="J59" s="113">
        <f>(J47+J49+J51)/($B$47+$B$49+$B$51)</f>
        <v>0.7075913776944704</v>
      </c>
      <c r="K59" s="78">
        <f>(K45+K47+K49)/($B$45+$B$47+$B$49)</f>
        <v>0.6504854368932039</v>
      </c>
    </row>
  </sheetData>
  <sheetProtection/>
  <mergeCells count="4">
    <mergeCell ref="C2:E2"/>
    <mergeCell ref="F2:H2"/>
    <mergeCell ref="I2:K2"/>
    <mergeCell ref="A19:K19"/>
  </mergeCells>
  <printOptions horizontalCentered="1"/>
  <pageMargins left="0.75" right="0.75" top="1.5" bottom="0.75" header="0.68" footer="0.43"/>
  <pageSetup orientation="landscape" scale="48" r:id="rId2"/>
  <headerFooter alignWithMargins="0">
    <oddHeader>&amp;L&amp;G&amp;C&amp;"Frutiger LT 55 Roman,Bold"&amp;14The Peter J. Tobin College of Business-Queens, Staten Island, and Manhattan* Campuses Combined&amp;10
&amp;14Retention Rates for Full-time Baccalaureate Degree-Seeking First-time Freshmen
Fall 1990 - Fall 2013</oddHeader>
    <oddFooter>&amp;L&amp;"Frutiger LT 55 Roman,Italic"&amp;8*Beginning in Fall 2001, students from the Manhattan campus are included.
Prepared by: Office of Institutional Research (rg,sc)&amp;R&amp;"Frutiger LT 55 Roman,Italic"&amp;8Based on data as of 10/14/2014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</dc:creator>
  <cp:keywords/>
  <dc:description/>
  <cp:lastModifiedBy>Christine Marie Goodwin</cp:lastModifiedBy>
  <cp:lastPrinted>2015-08-20T20:52:54Z</cp:lastPrinted>
  <dcterms:created xsi:type="dcterms:W3CDTF">2015-03-30T13:17:45Z</dcterms:created>
  <dcterms:modified xsi:type="dcterms:W3CDTF">2015-08-20T21:05:52Z</dcterms:modified>
  <cp:category/>
  <cp:version/>
  <cp:contentType/>
  <cp:contentStatus/>
</cp:coreProperties>
</file>